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600" windowHeight="11400" tabRatio="560" activeTab="0"/>
  </bookViews>
  <sheets>
    <sheet name="ТКО" sheetId="1" r:id="rId1"/>
    <sheet name="Долгосрочные параметры" sheetId="2" r:id="rId2"/>
  </sheets>
  <definedNames>
    <definedName name="_xlfn.IFERROR" hidden="1">#NAME?</definedName>
    <definedName name="_xlnm.Print_Titles" localSheetId="0">'ТКО'!$9:$11</definedName>
    <definedName name="_xlnm.Print_Area" localSheetId="1">'Долгосрочные параметры'!$A$1:$E$23</definedName>
    <definedName name="_xlnm.Print_Area" localSheetId="0">'ТКО'!$A$2:$P$154</definedName>
  </definedNames>
  <calcPr fullCalcOnLoad="1"/>
</workbook>
</file>

<file path=xl/comments1.xml><?xml version="1.0" encoding="utf-8"?>
<comments xmlns="http://schemas.openxmlformats.org/spreadsheetml/2006/main">
  <authors>
    <author>Татьяна А. Куграшова</author>
    <author>Admin</author>
  </authors>
  <commentList>
    <comment ref="D9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  <r>
          <rPr>
            <sz val="9"/>
            <rFont val="Tahoma"/>
            <family val="2"/>
          </rPr>
          <t xml:space="preserve">
</t>
        </r>
      </text>
    </comment>
    <comment ref="J46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рабочий по приему-214,10034+бульдоз.-185,20609=699,30643
</t>
        </r>
      </text>
    </comment>
    <comment ref="J50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мастер-33,8499+водовоз-6,46507=40,31497
</t>
        </r>
      </text>
    </comment>
    <comment ref="J54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всего общехоз.4117711,53;в соотношению к осн.произ-ву 73,48%=3025569,43;в т.ч.на утилиз.25,2%=762367,89,из них на ТКО65,7%=500875,70</t>
        </r>
      </text>
    </comment>
  </commentList>
</comments>
</file>

<file path=xl/sharedStrings.xml><?xml version="1.0" encoding="utf-8"?>
<sst xmlns="http://schemas.openxmlformats.org/spreadsheetml/2006/main" count="472" uniqueCount="275">
  <si>
    <t>план</t>
  </si>
  <si>
    <t>факт</t>
  </si>
  <si>
    <t>%</t>
  </si>
  <si>
    <t>№ п/п</t>
  </si>
  <si>
    <t>Единица
измерений</t>
  </si>
  <si>
    <t>тыс. руб.</t>
  </si>
  <si>
    <t>Текущие расходы</t>
  </si>
  <si>
    <t>индекс потребительских цен</t>
  </si>
  <si>
    <t>Нормативная прибыль</t>
  </si>
  <si>
    <t>Темп роста тарифа</t>
  </si>
  <si>
    <t>руб./куб. м</t>
  </si>
  <si>
    <t>Транспортный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</si>
  <si>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</si>
  <si>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</si>
  <si>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</si>
  <si>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Неподконтрольные расходы</t>
  </si>
  <si>
    <t>-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</si>
  <si>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</si>
  <si>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</si>
  <si>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</si>
  <si>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индекс эффективности операционных расходов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</si>
  <si>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</si>
  <si>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</si>
  <si>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</si>
  <si>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</si>
  <si>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информационные услуги</t>
  </si>
  <si>
    <t>Служебные командировки</t>
  </si>
  <si>
    <t>Обучение персонала</t>
  </si>
  <si>
    <t>руб./ кВт-ч</t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</si>
  <si>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</si>
  <si>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</si>
  <si>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</si>
  <si>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</si>
  <si>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</si>
  <si>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</si>
  <si>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</si>
  <si>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</si>
  <si>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</si>
  <si>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</si>
  <si>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</si>
  <si>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</si>
  <si>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1.</t>
  </si>
  <si>
    <t>2.</t>
  </si>
  <si>
    <t>3.</t>
  </si>
  <si>
    <t>4.</t>
  </si>
  <si>
    <t>5.</t>
  </si>
  <si>
    <t>6.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</si>
  <si>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</si>
  <si>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</si>
  <si>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</si>
  <si>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</si>
  <si>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</si>
  <si>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</si>
  <si>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объем тепловой энергии</t>
  </si>
  <si>
    <t>тариф на тепловую энергию</t>
  </si>
  <si>
    <t>руб./Гкал</t>
  </si>
  <si>
    <t>объем горячей воды</t>
  </si>
  <si>
    <t>тариф на горячую воду</t>
  </si>
  <si>
    <t>объем услуги водоотведение</t>
  </si>
  <si>
    <t>тариф на водоотведение</t>
  </si>
  <si>
    <t>Единый налог, уплачиваемый организацией, применяющей упрощенную систему налогообложения</t>
  </si>
  <si>
    <t>Наименование показателя</t>
  </si>
  <si>
    <t>Расчет необходимой валовой выручки:</t>
  </si>
  <si>
    <t>Параметры расчета:</t>
  </si>
  <si>
    <t>Является плательщиком НДС (да/нет)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</si>
  <si>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</si>
  <si>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</si>
  <si>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</si>
  <si>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</si>
  <si>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</si>
  <si>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</si>
  <si>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</si>
  <si>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</si>
  <si>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</si>
  <si>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</si>
  <si>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</si>
  <si>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</si>
  <si>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</si>
  <si>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</si>
  <si>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</si>
  <si>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</si>
  <si>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1.1.1.5.</t>
  </si>
  <si>
    <t>Общехозяйственные расходы</t>
  </si>
  <si>
    <t>Расходы на оплату труда и отчисления на социальные нужды ремонтного персонала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</si>
  <si>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</si>
  <si>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</si>
  <si>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</si>
  <si>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</si>
  <si>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</si>
  <si>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</si>
  <si>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</si>
  <si>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</si>
  <si>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</si>
  <si>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</si>
  <si>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Производственные расходы</t>
  </si>
  <si>
    <t>1.2.1.</t>
  </si>
  <si>
    <t>1.2.2.</t>
  </si>
  <si>
    <t>1.2.3.</t>
  </si>
  <si>
    <t>1.3.1.</t>
  </si>
  <si>
    <t>1.3.2.</t>
  </si>
  <si>
    <t>1.3.3.</t>
  </si>
  <si>
    <t>3.1.</t>
  </si>
  <si>
    <t>3.2.</t>
  </si>
  <si>
    <t>3.3.</t>
  </si>
  <si>
    <t>По нижеприведенным основаниям.</t>
  </si>
  <si>
    <t>По вышеприведенным основаниям.</t>
  </si>
  <si>
    <t>Ответственный за подготовку экспертного заключения</t>
  </si>
  <si>
    <t>Рост по отношению к базовому периоду, %</t>
  </si>
  <si>
    <t>Год</t>
  </si>
  <si>
    <t>Базовый уровень операционных расходов</t>
  </si>
  <si>
    <t>Индекс эффективности операционных расходов</t>
  </si>
  <si>
    <t> 1,0</t>
  </si>
  <si>
    <t>1.2.4.</t>
  </si>
  <si>
    <t>1.2.5.</t>
  </si>
  <si>
    <t>1.2.6.</t>
  </si>
  <si>
    <t>1.2.7.</t>
  </si>
  <si>
    <t>1.2.2.1.</t>
  </si>
  <si>
    <t>1.2.2.2.</t>
  </si>
  <si>
    <t>1.2.2.3.</t>
  </si>
  <si>
    <t>1.2.2.4.</t>
  </si>
  <si>
    <t>1.2.2.5.</t>
  </si>
  <si>
    <t>1.2.2.6.</t>
  </si>
  <si>
    <t>НН</t>
  </si>
  <si>
    <t>СН1</t>
  </si>
  <si>
    <t>СН2</t>
  </si>
  <si>
    <t>ВН</t>
  </si>
  <si>
    <t>Объем покупной энергии:</t>
  </si>
  <si>
    <t>Тариф на электрическую энергию:</t>
  </si>
  <si>
    <t>Мощность:</t>
  </si>
  <si>
    <t>ГН</t>
  </si>
  <si>
    <t>Ставка за мощность:</t>
  </si>
  <si>
    <t>Расходы на природный газ</t>
  </si>
  <si>
    <t>1.3.4.</t>
  </si>
  <si>
    <t>1.3.5.</t>
  </si>
  <si>
    <t>1.3.6.</t>
  </si>
  <si>
    <t>1.3.7.</t>
  </si>
  <si>
    <t>1.3.8.</t>
  </si>
  <si>
    <t>тыс. Гкал</t>
  </si>
  <si>
    <t>тыс. куб.м</t>
  </si>
  <si>
    <t>тыс. кВт-ч</t>
  </si>
  <si>
    <t>МВт</t>
  </si>
  <si>
    <t>руб./ МВт</t>
  </si>
  <si>
    <t>Расходы на покупку электрической мощности:</t>
  </si>
  <si>
    <t>Расходы на покупку электрической энергии:</t>
  </si>
  <si>
    <t>Расходы на тепловую энергию:</t>
  </si>
  <si>
    <t>Расходы на горячую воду:</t>
  </si>
  <si>
    <t>Расходы на водоотведение:</t>
  </si>
  <si>
    <t xml:space="preserve">Удельный расход энергетических ресурсов
</t>
  </si>
  <si>
    <t>Расходы на холодную воду:</t>
  </si>
  <si>
    <t>Прочие административные расходы</t>
  </si>
  <si>
    <t>Административные расходы:</t>
  </si>
  <si>
    <t>ожид</t>
  </si>
  <si>
    <t>тонн</t>
  </si>
  <si>
    <t>в пределах норматива по накоплению</t>
  </si>
  <si>
    <t>сверх норматива по накоплению</t>
  </si>
  <si>
    <t>Расчет объема (массы) твердых коммунальных отходов:</t>
  </si>
  <si>
    <t>Расчетный объем (масса) твердых коммунальных отходов:</t>
  </si>
  <si>
    <t>По видам твердых коммунальных отходов:</t>
  </si>
  <si>
    <t>2.1.</t>
  </si>
  <si>
    <t>2.2.</t>
  </si>
  <si>
    <t>сортированные</t>
  </si>
  <si>
    <t>несортированные</t>
  </si>
  <si>
    <t>крупногабаритные отходы</t>
  </si>
  <si>
    <t>Темп изменения образования твердых коммунальных отходов</t>
  </si>
  <si>
    <t>Средняя плотность твердых коммунальных отходов</t>
  </si>
  <si>
    <t>тонн/куб. м</t>
  </si>
  <si>
    <t xml:space="preserve">Расходы на амортизацию основных средств и нематериальных активов
</t>
  </si>
  <si>
    <t>Расчетная предпринимательская прибыль</t>
  </si>
  <si>
    <t>руб./тонну</t>
  </si>
  <si>
    <t>Операционные (подконтрольные) расходы</t>
  </si>
  <si>
    <t>Расходы на приобретение (производство) энергетических ресурсов</t>
  </si>
  <si>
    <t>Нет</t>
  </si>
  <si>
    <t>захоронение твердых коммунальных отходов</t>
  </si>
  <si>
    <t>Расходы на оплату выполняемых сторонними организациями или индивидуальными предпринимателями работ и (или) услуг, связанных с эксплуатацией объектов, используемых для обработки, обезвреживания, захоронения твердых коммунальных отходов</t>
  </si>
  <si>
    <t>Расходы на текущий ремонт объектов, используемых для обработки, обезвреживания, захоронения твердых коммунальных отходов</t>
  </si>
  <si>
    <t>Расходы на капитальный ремонт объектов, используемых для обработки, обезвреживания, захоронения твердых коммунальных отходов</t>
  </si>
  <si>
    <t>Расходы на амортизацию непроизводственных активов</t>
  </si>
  <si>
    <t>Расходы на оплату товаров, работ и (или) услуг, поставляемых и (или) выполняемых по договорам сторонними организациями или индивидуальными предпринимателями:</t>
  </si>
  <si>
    <t>услуги вневедомственной охраны</t>
  </si>
  <si>
    <t>другие</t>
  </si>
  <si>
    <t>1.1.3.4.</t>
  </si>
  <si>
    <t>1.1.3.5.</t>
  </si>
  <si>
    <t>1.1.3.6.</t>
  </si>
  <si>
    <t>1.1.3.7.</t>
  </si>
  <si>
    <t>1.1.3.8.</t>
  </si>
  <si>
    <t>1.1.3.9.</t>
  </si>
  <si>
    <t>сырье и материалы</t>
  </si>
  <si>
    <t>горюче-смазочные материалы</t>
  </si>
  <si>
    <t>материалы и малоценные основные средства</t>
  </si>
  <si>
    <t>Расходы на приобретение сырья и материалов и их хранение:</t>
  </si>
  <si>
    <t>Ремонтные расходы:</t>
  </si>
  <si>
    <t>1.2.2.7.</t>
  </si>
  <si>
    <t>Расходы на обязательное страхование, предусмотренные законодательными актами РФ</t>
  </si>
  <si>
    <t>Расходы на уплату налогов, сборов и других обязательных платежей:</t>
  </si>
  <si>
    <t>Арендная плата, лизинговые платежи, не связанные с арендой (лизингом) объектов, используемых для обработки, обезвреживания, захоронения твердых коммунальных отходов</t>
  </si>
  <si>
    <t>Расходы на арендную плату, концессионную плату и лизинговые платежи в отношении объектов, используемых для обработки, обезвреживания, захоронения твердых коммунальных отходов</t>
  </si>
  <si>
    <t>Расходы на выплаты по договорам займа и кредитным договорам, включая возврат сумм основного долга и процентов по ним</t>
  </si>
  <si>
    <t>Расходы на плату за негативное воздействие на окружающую среду при размещении твердых коммунальных отходов</t>
  </si>
  <si>
    <t>Расходы на оплату товаров, работ и услуг других операторов по обращению с твердыми коммунальными отходами</t>
  </si>
  <si>
    <t>Расходы на иные виды топлива</t>
  </si>
  <si>
    <t>Величина изменения необходимой валовой выручки, производимого в целях сглаживания тарифов</t>
  </si>
  <si>
    <t>Обоснование причин и ссылки на правовые нормы, на основании которых органом регулирования проведен расчет объема (массы) твердых коммунальных отходов, а также принято решение об исключении из расчета тарифов экономически не обоснованных расходов, учтенных регулируемой организацией в предложении об установлении тарифов</t>
  </si>
  <si>
    <t>Представлено оператором по обращению с твердыми коммунальными отходами в качестве обоснования</t>
  </si>
  <si>
    <t>Определен исходя из заявленной необходимой валовой выручки и объема твердых коммунальных отходов.</t>
  </si>
  <si>
    <t>Определен исходя из принятой необходимой валовой выручки и объема твердых коммунальных отходов.</t>
  </si>
  <si>
    <t>Определен исходя из заявленной необходимой валовой выручки и массы твердых коммунальных отходов.</t>
  </si>
  <si>
    <t>Определен исходя из принятой необходимой валовой выручки и массы твердых коммунальных отходов.</t>
  </si>
  <si>
    <t>(наименование оператора по обращению с твердыми коммунальными отходами)</t>
  </si>
  <si>
    <t>Расходы на обязательное страхование производственных объектов в случаях, предусмотренных законодательством РФ, страхование ответственности концессионера, частного партнера, в случаях, предусмотренных соответствующими соглашениями, а также расходов на страхование рисков гибели объектов, создаваемых по таким соглашениям</t>
  </si>
  <si>
    <t xml:space="preserve">Долгосрочные параметры регулирования тарифов на </t>
  </si>
  <si>
    <t>Наименование оператора по обращению с твердыми коммунальными отходами</t>
  </si>
  <si>
    <t>8.</t>
  </si>
  <si>
    <t>9.</t>
  </si>
  <si>
    <t>Прочие производственные расходы, непосредственно связанные с эксплуатацией объектов, используемых для обработки, обезвреживания, захоронения твердых коммунальных отходов</t>
  </si>
  <si>
    <t>2019 год</t>
  </si>
  <si>
    <t>2020 год</t>
  </si>
  <si>
    <t>2021 год</t>
  </si>
  <si>
    <t>Учтено органом регулирования</t>
  </si>
  <si>
    <t>Заявлено оператором по обращению с твердыми коммунальными отходами</t>
  </si>
  <si>
    <t>Проверка (п.3 = п.2)</t>
  </si>
  <si>
    <t>Проверка (p=m/V)</t>
  </si>
  <si>
    <t>Принят в соответствии с п. 28 Методических указаний.</t>
  </si>
  <si>
    <t>2022 год</t>
  </si>
  <si>
    <t>ИЦП (обеспечение электрической энергией, газом и паром; кондиционирование воздуха)</t>
  </si>
  <si>
    <t>на 2021-2025 годы</t>
  </si>
  <si>
    <t>захоронение твердых коммунальных отходов (ТКО)</t>
  </si>
  <si>
    <t>Расчет тарифа методом индексации (второй долгосрочный период) на</t>
  </si>
  <si>
    <t>2023 год</t>
  </si>
  <si>
    <t>2024 год</t>
  </si>
  <si>
    <t>2025 год</t>
  </si>
  <si>
    <t>Согласно базовому варианту Прогноза социально-экономического развития РФ на 2021 год и плановый период 2022 и 2023 годов, разработанному Минэкономразвития России в сентябре 2020 года (далее - Прогноз).</t>
  </si>
  <si>
    <t>размер страховых взносов</t>
  </si>
  <si>
    <t>Корректировка НВВ с учетом отклонения показателя ввода и вывода объектов, используемых для обработки, обезвреживания, захоронения твердых коммунальных отходов, и изменения утвержденной в установленном порядке инвестиционной программы, определяемая в соответствии с п. 49 Методических указаний</t>
  </si>
  <si>
    <t>10.</t>
  </si>
  <si>
    <t>11.</t>
  </si>
  <si>
    <t>Корректировка с целью учета отклонения фактических значений параметров расчета тарифов от значений, учтенных при установлении тарифов, определяемая в соответствии с п. 48 Методических указаний</t>
  </si>
  <si>
    <t>Корректировка НВВ с учетом степени исполнения регулируемой организацией обязательств по созданию и (или) реконструкции объектов, определяемая в соответствии с п. 50 Методических указаний</t>
  </si>
  <si>
    <t>ООО  "НАШ ГОРОД"</t>
  </si>
  <si>
    <t>Согласно федеральному закону №243-ФЗ от 03.07.2016 года</t>
  </si>
  <si>
    <t>Объем ТКО принят в размере заявленной предприятием величины, на основании методических указаний по расчету регулируемых тарифов в области обращения с ТКО п.14, факта 2019 года подтвержденного формой инвентаризации объектов размещения отходов производства и потребления за 2019 год, декларации о плате за негативное воздействие на окружающую среду за 2019 год</t>
  </si>
  <si>
    <t>По итогам анализа представленных материалов, расходы признаны экономически обоснованными и приняты в размере заявленной предприятием величины</t>
  </si>
  <si>
    <t>Определены в соответствии с п.47 Основ ценообразования, п.30 и п.45 Методических указаний</t>
  </si>
  <si>
    <t>В качестве обоснования представлены обосновывающие материалы оператором по обращению с ТКО по факту за 2019 год</t>
  </si>
  <si>
    <t>Представлен расчет численности рабочих и руководства на участке по захоронению ТКО, штатное расписание</t>
  </si>
  <si>
    <t>Представлен расчет заявленной величины. В расчет принята среднемесячная заработная плата, расчитанная в соответствии с приказами предприятия с применением процента премирования, районного коэффициента и северной надбавки в соотв.с пост.Госкомтруда СССР ВЦСПС от 04.091964 №380/П18 и Указа Президиума ВС СССР от 10.02.1980</t>
  </si>
  <si>
    <t>Заявленная предприятием среднемесячная заработная плата признана экономически обоснованной, в расчет принята в размере заявленной предприятием величины</t>
  </si>
  <si>
    <t>Уведомление ФСС РФ о размере страховых взносов на страхование от несчастных случаев (предоставлено ранее) 0,3%</t>
  </si>
  <si>
    <t>Представлен расчет численности руководства относящийся к участку по захоронению ТКО пропорционально принятому на полигон объему, штатное расписание</t>
  </si>
  <si>
    <t>Заявленная численность признана экономически обоснованнной, принята по предложению предприятия в размере заявленной величины</t>
  </si>
  <si>
    <t xml:space="preserve">По итогам анализа представленных материалов, расходы признаны экономически не обоснованными и приняты в размере пропорционально принятого на полигон ТКО </t>
  </si>
  <si>
    <t>Расходы признаны экономически обоснованными. Сумма налога принята на основании НК, метод.указаний и Основ ценообразования в области обращения с ТКО</t>
  </si>
  <si>
    <t xml:space="preserve">По итогам анализа представленных материалов, расходы признаны экономически обоснованными в размере пересчитанном  в отношении заложенной в тариф зар.платы (30,3%) </t>
  </si>
  <si>
    <t>По итогам анализа представленных материалов, расходы признаны экономически обоснованными. Плата занегативное воздействие на окружающую среду расчитана на основании ПП РФ от 13.09.2016г №913</t>
  </si>
  <si>
    <t>Представлен расчет общехояйственных расходов</t>
  </si>
  <si>
    <t xml:space="preserve">Представлены расчеты по производственной программе:приобретение з/частей для ремонта бульдозера-всего 137387,00 руб.в т.ч. на ТКО 65,7%=90263,25 руб. на 3 года=30087,75 руб. </t>
  </si>
  <si>
    <t>Представлены расчеты на дератизацию-6,82 т.руб; лаболаторные анализы и замеры-113,26 т.руб; поверку, мед.комиссию-13,20 т.руб.</t>
  </si>
  <si>
    <t>Факт.затраты на услуги связи за 2019 год составили 1800 руб., из них на ТКО 65,7%=1182,6 руб.</t>
  </si>
  <si>
    <t>Плановые затраты на обучение по курсу подготовки лиц на право работы с отходами 1-4 класса опасности на 2021 год-7,5 т. руб.,из них на ТКО=1,64 т.руб.</t>
  </si>
  <si>
    <t>Плановая сумма транспортного налога на 2021 год-5,65 т.руб.,из них на ТКО 65,7%=3,71 т.руб.</t>
  </si>
  <si>
    <t>Единый налог, уплачиваемый организацией, применяющей упрощенную систему налогообложения расчитен на основании НК РФ</t>
  </si>
  <si>
    <t>Планируемые затраты на разработку программы производственного экологического контроля (ПЭК) 80,0 т.руб; на инвентаризацию источников образования отходов 96,0 т.руб.;176,0 т.руб/3 года=58,66 т.руб.,из них на ТКО 65,7%=38,5 т.руб.</t>
  </si>
  <si>
    <t xml:space="preserve">Расчет платы за выбросы на 2021 год-54,201 т.руб, из них на ТКО 65,7% =35,610 т.руб. </t>
  </si>
  <si>
    <t>Расчет амортизации для тарифа сделан на основании ПП РФ от 29.10.2019 №1386 в соответствии с максимальными сроками полезного использования 350,0/(10*12)*12=35,0 из них на ТКО 65,7%=23,0 т.руб.</t>
  </si>
  <si>
    <t>Факт.затраты на разработку расчетной СЗЗ составили 96,0т.руб.,за проведение натурных исследований и лаболаторные замеры 592,2 т.руб.,за замеры контроля ТКО 100,9 (25,6+16,5+58,8) т.руб.,всего 789,1 т.руб,предусмотрено в тарифе 139,9 т.руб.-разница 649,2 т.руб.,из них на ТКО 65,7%=426,52 т.руб./3 г=142,2 т.руб.</t>
  </si>
  <si>
    <t>По итогам анализа представленных материалов, расходы признаны экономически обоснованными и приняты в размере заявленной предприятием величины на основ.ПП РФ от 30.05.2016г №484 "О ценообразовании в области обращения с твердыми коммунальными отходами"</t>
  </si>
  <si>
    <t>Расчетная предпринимательская прибыль определена в размере 5% от необходимой валовой выручки на очередной период регулирования, на основ.ПП РФ от 30.05.2016 г №484 "Основ ценообразования в области обращения с ТКО"</t>
  </si>
  <si>
    <t>Расчетная предпринимательская прибыль определена в размере 5% от необходимой валовой выручки на очередной период регулирования (3027,4 + 23,0)*5%</t>
  </si>
  <si>
    <t>дрова-8,87 т.руб.,талоны-3,27 т.руб.,содержание помещения-0,96 т.руб.</t>
  </si>
  <si>
    <t>ГСМ расчитан на основ.устан.норм и пропорционально объему ТКО 65,7% (а/трансп.385,2+эл.станция 61,0)=293,1 т.руб.</t>
  </si>
  <si>
    <t>перчатки (5 пар*12 мес=60 пар*14 руб.=840 руб.) в объеме принятого на полигон ТКО 65,7%</t>
  </si>
  <si>
    <t>Расчет платы за негативное воздействие на окружающую среду сделан на основании принятых отходов в 2019 году и в целях запланированного размещения ТКО на 2021 год</t>
  </si>
  <si>
    <t>Арендная плата на основании письма КУМИ №1477 от 17.07.2020г с 01.01.2020г с учетом уровня инфляции на 2020 год составляет 168,018 т.руб, на 2021 год 174,403 т.руб., из них 65,7% на ТКО-114,583 т.руб.</t>
  </si>
  <si>
    <t>В.В.Елина</t>
  </si>
  <si>
    <r>
      <t xml:space="preserve">Прочие налоги и сборы </t>
    </r>
    <r>
      <rPr>
        <b/>
        <sz val="12"/>
        <rFont val="Times New Roman"/>
        <family val="1"/>
      </rPr>
      <t>(плата за выбросы)</t>
    </r>
  </si>
  <si>
    <r>
      <t xml:space="preserve">Прочие расходы </t>
    </r>
    <r>
      <rPr>
        <b/>
        <sz val="12"/>
        <rFont val="Times New Roman"/>
        <family val="1"/>
      </rPr>
      <t>(инвентаризация источников образования отходов, ПЭК)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</si>
</sst>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_-* #,##0.0_р_._-;\-* #,##0.0_р_._-;_-* &quot;-&quot;??_р_._-;_-@_-"/>
    <numFmt numFmtId="177" formatCode="_-* #,##0.000_р_._-;\-* #,##0.000_р_._-;_-* &quot;-&quot;??_р_._-;_-@_-"/>
    <numFmt numFmtId="178" formatCode="#,##0.000_ ;\-#,##0.000\ "/>
    <numFmt numFmtId="179" formatCode="#,##0.00_ ;\-#,##0.00\ "/>
    <numFmt numFmtId="180" formatCode="#,##0.0_ ;\-#,##0.0\ "/>
    <numFmt numFmtId="181" formatCode="0.000%"/>
    <numFmt numFmtId="182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59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vertical="center"/>
      <protection locked="0"/>
    </xf>
    <xf numFmtId="0" fontId="28" fillId="0" borderId="18" xfId="0" applyFont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172" fontId="6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13" borderId="14" xfId="0" applyFont="1" applyFill="1" applyBorder="1" applyAlignment="1" applyProtection="1">
      <alignment horizontal="center" vertical="center"/>
      <protection locked="0"/>
    </xf>
    <xf numFmtId="0" fontId="6" fillId="13" borderId="14" xfId="0" applyFont="1" applyFill="1" applyBorder="1" applyAlignment="1" applyProtection="1">
      <alignment horizontal="lef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/>
      <protection/>
    </xf>
    <xf numFmtId="180" fontId="6" fillId="13" borderId="10" xfId="59" applyNumberFormat="1" applyFont="1" applyFill="1" applyBorder="1" applyAlignment="1" applyProtection="1">
      <alignment horizontal="center" vertical="center"/>
      <protection/>
    </xf>
    <xf numFmtId="180" fontId="6" fillId="0" borderId="16" xfId="59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6" fillId="13" borderId="15" xfId="0" applyFont="1" applyFill="1" applyBorder="1" applyAlignment="1" applyProtection="1">
      <alignment horizontal="center" vertical="center"/>
      <protection locked="0"/>
    </xf>
    <xf numFmtId="0" fontId="6" fillId="13" borderId="16" xfId="0" applyFont="1" applyFill="1" applyBorder="1" applyAlignment="1" applyProtection="1">
      <alignment horizontal="left" vertical="center" wrapText="1"/>
      <protection locked="0"/>
    </xf>
    <xf numFmtId="0" fontId="6" fillId="13" borderId="16" xfId="0" applyFont="1" applyFill="1" applyBorder="1" applyAlignment="1" applyProtection="1">
      <alignment horizontal="center" vertical="center"/>
      <protection locked="0"/>
    </xf>
    <xf numFmtId="0" fontId="6" fillId="7" borderId="14" xfId="0" applyFont="1" applyFill="1" applyBorder="1" applyAlignment="1" applyProtection="1">
      <alignment vertical="center" wrapText="1"/>
      <protection locked="0"/>
    </xf>
    <xf numFmtId="0" fontId="6" fillId="7" borderId="10" xfId="0" applyFont="1" applyFill="1" applyBorder="1" applyAlignment="1" applyProtection="1">
      <alignment horizontal="center" vertical="center"/>
      <protection/>
    </xf>
    <xf numFmtId="180" fontId="6" fillId="7" borderId="10" xfId="59" applyNumberFormat="1" applyFont="1" applyFill="1" applyBorder="1" applyAlignment="1" applyProtection="1">
      <alignment horizontal="center" vertical="center"/>
      <protection/>
    </xf>
    <xf numFmtId="180" fontId="6" fillId="0" borderId="10" xfId="59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vertical="center" wrapText="1" indent="1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180" fontId="6" fillId="0" borderId="10" xfId="59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 wrapText="1" inden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73" fontId="6" fillId="7" borderId="10" xfId="56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80" fontId="6" fillId="0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19" xfId="0" applyFont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8" fillId="33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left" vertical="center"/>
      <protection locked="0"/>
    </xf>
    <xf numFmtId="16" fontId="6" fillId="13" borderId="10" xfId="0" applyNumberFormat="1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 indent="2"/>
      <protection locked="0"/>
    </xf>
    <xf numFmtId="0" fontId="28" fillId="0" borderId="10" xfId="0" applyFont="1" applyFill="1" applyBorder="1" applyAlignment="1" applyProtection="1">
      <alignment horizontal="center" vertical="center"/>
      <protection/>
    </xf>
    <xf numFmtId="172" fontId="6" fillId="0" borderId="10" xfId="56" applyNumberFormat="1" applyFont="1" applyFill="1" applyBorder="1" applyAlignment="1" applyProtection="1">
      <alignment horizontal="center" vertical="center"/>
      <protection/>
    </xf>
    <xf numFmtId="10" fontId="6" fillId="0" borderId="10" xfId="59" applyNumberFormat="1" applyFont="1" applyFill="1" applyBorder="1" applyAlignment="1" applyProtection="1">
      <alignment horizontal="center" vertical="center"/>
      <protection/>
    </xf>
    <xf numFmtId="180" fontId="6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indent="2"/>
      <protection locked="0"/>
    </xf>
    <xf numFmtId="180" fontId="6" fillId="0" borderId="16" xfId="59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 indent="2"/>
      <protection locked="0"/>
    </xf>
    <xf numFmtId="0" fontId="28" fillId="33" borderId="10" xfId="0" applyFont="1" applyFill="1" applyBorder="1" applyAlignment="1" applyProtection="1">
      <alignment horizontal="center" vertical="center"/>
      <protection/>
    </xf>
    <xf numFmtId="172" fontId="6" fillId="33" borderId="10" xfId="56" applyNumberFormat="1" applyFont="1" applyFill="1" applyBorder="1" applyAlignment="1" applyProtection="1">
      <alignment horizontal="center" vertical="center"/>
      <protection/>
    </xf>
    <xf numFmtId="180" fontId="6" fillId="0" borderId="16" xfId="59" applyNumberFormat="1" applyFont="1" applyFill="1" applyBorder="1" applyAlignment="1" applyProtection="1">
      <alignment horizontal="left" vertical="center" wrapText="1"/>
      <protection locked="0"/>
    </xf>
    <xf numFmtId="180" fontId="6" fillId="0" borderId="10" xfId="59" applyNumberFormat="1" applyFont="1" applyFill="1" applyBorder="1" applyAlignment="1" applyProtection="1">
      <alignment horizontal="left" vertical="center"/>
      <protection/>
    </xf>
    <xf numFmtId="0" fontId="6" fillId="13" borderId="10" xfId="0" applyFont="1" applyFill="1" applyBorder="1" applyAlignment="1" applyProtection="1">
      <alignment horizontal="left" vertical="center" wrapText="1" indent="1"/>
      <protection locked="0"/>
    </xf>
    <xf numFmtId="180" fontId="6" fillId="13" borderId="10" xfId="59" applyNumberFormat="1" applyFont="1" applyFill="1" applyBorder="1" applyAlignment="1" applyProtection="1">
      <alignment horizontal="center" vertical="center"/>
      <protection locked="0"/>
    </xf>
    <xf numFmtId="180" fontId="6" fillId="34" borderId="10" xfId="59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6" fillId="0" borderId="10" xfId="0" applyFont="1" applyFill="1" applyBorder="1" applyAlignment="1" applyProtection="1">
      <alignment horizontal="left" vertical="center" wrapText="1" indent="3"/>
      <protection locked="0"/>
    </xf>
    <xf numFmtId="180" fontId="6" fillId="0" borderId="10" xfId="59" applyNumberFormat="1" applyFont="1" applyFill="1" applyBorder="1" applyAlignment="1" applyProtection="1">
      <alignment horizontal="left" vertical="center" wrapText="1"/>
      <protection/>
    </xf>
    <xf numFmtId="14" fontId="6" fillId="13" borderId="10" xfId="0" applyNumberFormat="1" applyFont="1" applyFill="1" applyBorder="1" applyAlignment="1" applyProtection="1">
      <alignment horizontal="center" vertical="center"/>
      <protection locked="0"/>
    </xf>
    <xf numFmtId="180" fontId="6" fillId="34" borderId="10" xfId="59" applyNumberFormat="1" applyFont="1" applyFill="1" applyBorder="1" applyAlignment="1" applyProtection="1">
      <alignment horizontal="left" vertical="center" wrapText="1"/>
      <protection locked="0"/>
    </xf>
    <xf numFmtId="180" fontId="6" fillId="34" borderId="10" xfId="59" applyNumberFormat="1" applyFont="1" applyFill="1" applyBorder="1" applyAlignment="1" applyProtection="1">
      <alignment horizontal="center" vertical="center"/>
      <protection locked="0"/>
    </xf>
    <xf numFmtId="180" fontId="6" fillId="35" borderId="10" xfId="59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left" vertical="center" wrapText="1" indent="1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1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13" borderId="10" xfId="0" applyFont="1" applyFill="1" applyBorder="1" applyAlignment="1" applyProtection="1">
      <alignment horizontal="left" vertical="center"/>
      <protection/>
    </xf>
    <xf numFmtId="0" fontId="28" fillId="13" borderId="10" xfId="0" applyFont="1" applyFill="1" applyBorder="1" applyAlignment="1" applyProtection="1">
      <alignment horizontal="left" vertical="center"/>
      <protection/>
    </xf>
    <xf numFmtId="0" fontId="28" fillId="13" borderId="10" xfId="0" applyFont="1" applyFill="1" applyBorder="1" applyAlignment="1" applyProtection="1">
      <alignment horizontal="center" vertical="center"/>
      <protection/>
    </xf>
    <xf numFmtId="179" fontId="28" fillId="13" borderId="10" xfId="59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2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righ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tabSelected="1" view="pageBreakPreview" zoomScale="112" zoomScaleNormal="60" zoomScaleSheetLayoutView="112" zoomScalePageLayoutView="0" workbookViewId="0" topLeftCell="A92">
      <selection activeCell="I149" sqref="I149"/>
    </sheetView>
  </sheetViews>
  <sheetFormatPr defaultColWidth="0.875" defaultRowHeight="12.75"/>
  <cols>
    <col min="1" max="1" width="12.00390625" style="1" customWidth="1"/>
    <col min="2" max="2" width="51.375" style="1" customWidth="1"/>
    <col min="3" max="3" width="12.875" style="1" customWidth="1"/>
    <col min="4" max="6" width="14.125" style="1" customWidth="1"/>
    <col min="7" max="7" width="14.125" style="1" hidden="1" customWidth="1"/>
    <col min="8" max="8" width="15.375" style="1" customWidth="1"/>
    <col min="9" max="9" width="35.75390625" style="2" customWidth="1"/>
    <col min="10" max="10" width="16.00390625" style="1" customWidth="1"/>
    <col min="11" max="11" width="35.75390625" style="2" customWidth="1"/>
    <col min="12" max="12" width="12.75390625" style="2" customWidth="1"/>
    <col min="13" max="16" width="12.875" style="1" customWidth="1"/>
    <col min="17" max="16384" width="0.875" style="1" customWidth="1"/>
  </cols>
  <sheetData>
    <row r="1" ht="15.75" customHeight="1">
      <c r="L1" s="8"/>
    </row>
    <row r="2" ht="18.75" customHeight="1"/>
    <row r="3" spans="2:16" s="7" customFormat="1" ht="18.75" customHeight="1">
      <c r="B3" s="15"/>
      <c r="C3" s="20" t="s">
        <v>226</v>
      </c>
      <c r="D3" s="20"/>
      <c r="E3" s="20"/>
      <c r="F3" s="20"/>
      <c r="G3" s="20"/>
      <c r="H3" s="20"/>
      <c r="I3" s="20"/>
      <c r="J3" s="20"/>
      <c r="K3" s="20"/>
      <c r="L3" s="15"/>
      <c r="M3" s="15"/>
      <c r="N3" s="15"/>
      <c r="O3" s="15"/>
      <c r="P3" s="15"/>
    </row>
    <row r="4" spans="2:16" s="3" customFormat="1" ht="18.75" customHeight="1">
      <c r="B4" s="15"/>
      <c r="C4" s="20" t="s">
        <v>225</v>
      </c>
      <c r="D4" s="20"/>
      <c r="E4" s="20"/>
      <c r="F4" s="20"/>
      <c r="G4" s="20"/>
      <c r="H4" s="20"/>
      <c r="I4" s="20"/>
      <c r="J4" s="20"/>
      <c r="K4" s="20"/>
      <c r="L4" s="15"/>
      <c r="M4" s="15"/>
      <c r="N4" s="15"/>
      <c r="O4" s="15"/>
      <c r="P4" s="15"/>
    </row>
    <row r="5" spans="2:16" s="3" customFormat="1" ht="18.75" customHeight="1">
      <c r="B5" s="16"/>
      <c r="C5" s="21" t="s">
        <v>224</v>
      </c>
      <c r="D5" s="21"/>
      <c r="E5" s="21"/>
      <c r="F5" s="21"/>
      <c r="G5" s="21"/>
      <c r="H5" s="21"/>
      <c r="I5" s="21"/>
      <c r="J5" s="21"/>
      <c r="K5" s="21"/>
      <c r="L5" s="16"/>
      <c r="M5" s="16"/>
      <c r="N5" s="16"/>
      <c r="O5" s="16"/>
      <c r="P5" s="16"/>
    </row>
    <row r="6" spans="1:16" s="4" customFormat="1" ht="18.75" customHeight="1">
      <c r="A6" s="15"/>
      <c r="B6" s="16"/>
      <c r="C6" s="22" t="s">
        <v>237</v>
      </c>
      <c r="D6" s="22"/>
      <c r="E6" s="22"/>
      <c r="F6" s="22"/>
      <c r="G6" s="22"/>
      <c r="H6" s="22"/>
      <c r="I6" s="22"/>
      <c r="J6" s="22"/>
      <c r="K6" s="22"/>
      <c r="L6" s="16"/>
      <c r="M6" s="16"/>
      <c r="N6" s="16"/>
      <c r="O6" s="16"/>
      <c r="P6" s="16"/>
    </row>
    <row r="7" spans="2:16" s="4" customFormat="1" ht="18.75" customHeight="1">
      <c r="B7" s="17"/>
      <c r="C7" s="23" t="s">
        <v>207</v>
      </c>
      <c r="D7" s="23"/>
      <c r="E7" s="23"/>
      <c r="F7" s="23"/>
      <c r="G7" s="23"/>
      <c r="H7" s="23"/>
      <c r="I7" s="23"/>
      <c r="J7" s="23"/>
      <c r="K7" s="23"/>
      <c r="L7" s="17"/>
      <c r="M7" s="17"/>
      <c r="N7" s="17"/>
      <c r="O7" s="17"/>
      <c r="P7" s="17"/>
    </row>
    <row r="8" spans="9:12" s="5" customFormat="1" ht="17.25" customHeight="1">
      <c r="I8" s="6"/>
      <c r="K8" s="6"/>
      <c r="L8" s="6"/>
    </row>
    <row r="9" spans="1:16" s="39" customFormat="1" ht="156.75" customHeight="1">
      <c r="A9" s="31" t="s">
        <v>3</v>
      </c>
      <c r="B9" s="32" t="s">
        <v>61</v>
      </c>
      <c r="C9" s="31" t="s">
        <v>4</v>
      </c>
      <c r="D9" s="33"/>
      <c r="E9" s="34"/>
      <c r="F9" s="35"/>
      <c r="G9" s="35"/>
      <c r="H9" s="36" t="s">
        <v>218</v>
      </c>
      <c r="I9" s="31" t="s">
        <v>202</v>
      </c>
      <c r="J9" s="36" t="s">
        <v>217</v>
      </c>
      <c r="K9" s="37" t="s">
        <v>201</v>
      </c>
      <c r="L9" s="31" t="s">
        <v>107</v>
      </c>
      <c r="M9" s="33" t="s">
        <v>217</v>
      </c>
      <c r="N9" s="38"/>
      <c r="O9" s="38"/>
      <c r="P9" s="34"/>
    </row>
    <row r="10" spans="1:16" s="39" customFormat="1" ht="15" customHeight="1">
      <c r="A10" s="40"/>
      <c r="B10" s="41"/>
      <c r="C10" s="40"/>
      <c r="D10" s="33" t="s">
        <v>214</v>
      </c>
      <c r="E10" s="34"/>
      <c r="F10" s="33" t="s">
        <v>215</v>
      </c>
      <c r="G10" s="34"/>
      <c r="H10" s="36" t="s">
        <v>216</v>
      </c>
      <c r="I10" s="40"/>
      <c r="J10" s="36">
        <v>2021</v>
      </c>
      <c r="K10" s="42"/>
      <c r="L10" s="40"/>
      <c r="M10" s="36" t="s">
        <v>222</v>
      </c>
      <c r="N10" s="36" t="s">
        <v>227</v>
      </c>
      <c r="O10" s="36" t="s">
        <v>228</v>
      </c>
      <c r="P10" s="36" t="s">
        <v>229</v>
      </c>
    </row>
    <row r="11" spans="1:16" s="39" customFormat="1" ht="13.5" customHeight="1">
      <c r="A11" s="43"/>
      <c r="B11" s="44"/>
      <c r="C11" s="43"/>
      <c r="D11" s="45" t="s">
        <v>0</v>
      </c>
      <c r="E11" s="45" t="s">
        <v>1</v>
      </c>
      <c r="F11" s="45" t="s">
        <v>0</v>
      </c>
      <c r="G11" s="45" t="s">
        <v>151</v>
      </c>
      <c r="H11" s="36" t="s">
        <v>0</v>
      </c>
      <c r="I11" s="43"/>
      <c r="J11" s="36" t="s">
        <v>0</v>
      </c>
      <c r="K11" s="46"/>
      <c r="L11" s="43"/>
      <c r="M11" s="36" t="s">
        <v>0</v>
      </c>
      <c r="N11" s="36" t="s">
        <v>0</v>
      </c>
      <c r="O11" s="36" t="s">
        <v>0</v>
      </c>
      <c r="P11" s="36" t="s">
        <v>0</v>
      </c>
    </row>
    <row r="12" spans="1:12" s="39" customFormat="1" ht="15.75">
      <c r="A12" s="47"/>
      <c r="B12" s="48" t="s">
        <v>155</v>
      </c>
      <c r="C12" s="49"/>
      <c r="I12" s="49"/>
      <c r="K12" s="49"/>
      <c r="L12" s="49"/>
    </row>
    <row r="13" spans="1:16" s="39" customFormat="1" ht="18" customHeight="1">
      <c r="A13" s="50" t="s">
        <v>41</v>
      </c>
      <c r="B13" s="51" t="s">
        <v>164</v>
      </c>
      <c r="C13" s="52" t="s">
        <v>165</v>
      </c>
      <c r="D13" s="53"/>
      <c r="E13" s="53"/>
      <c r="F13" s="53"/>
      <c r="G13" s="53"/>
      <c r="H13" s="53"/>
      <c r="I13" s="54"/>
      <c r="J13" s="53"/>
      <c r="K13" s="54"/>
      <c r="L13" s="55" t="str">
        <f>IF(AND(F13&gt;0,J13&gt;0),J13/F13,"-")</f>
        <v>-</v>
      </c>
      <c r="M13" s="53"/>
      <c r="N13" s="53"/>
      <c r="O13" s="53"/>
      <c r="P13" s="53"/>
    </row>
    <row r="14" spans="1:16" s="61" customFormat="1" ht="31.5">
      <c r="A14" s="56" t="s">
        <v>42</v>
      </c>
      <c r="B14" s="57" t="s">
        <v>156</v>
      </c>
      <c r="C14" s="58" t="s">
        <v>31</v>
      </c>
      <c r="D14" s="59">
        <f>ROUND(D17,1)+ROUND(D19,1)</f>
        <v>37938</v>
      </c>
      <c r="E14" s="59">
        <f aca="true" t="shared" si="0" ref="D14:H15">ROUND(E17,1)+ROUND(E19,1)</f>
        <v>35154.6</v>
      </c>
      <c r="F14" s="59">
        <f t="shared" si="0"/>
        <v>37938</v>
      </c>
      <c r="G14" s="59">
        <f t="shared" si="0"/>
        <v>0</v>
      </c>
      <c r="H14" s="59">
        <f t="shared" si="0"/>
        <v>35155</v>
      </c>
      <c r="I14" s="60" t="s">
        <v>104</v>
      </c>
      <c r="J14" s="59">
        <f>ROUND(J17,1)+ROUND(J19,1)</f>
        <v>35155</v>
      </c>
      <c r="K14" s="60" t="s">
        <v>104</v>
      </c>
      <c r="L14" s="55">
        <f aca="true" t="shared" si="1" ref="L14:L79">IF(AND(F14&gt;0,J14&gt;0),J14/F14,"-")</f>
        <v>0.9266434709262481</v>
      </c>
      <c r="M14" s="59">
        <f aca="true" t="shared" si="2" ref="M14:P15">ROUND(M17,1)+ROUND(M19,1)</f>
        <v>35155</v>
      </c>
      <c r="N14" s="59">
        <f t="shared" si="2"/>
        <v>35155</v>
      </c>
      <c r="O14" s="59">
        <f t="shared" si="2"/>
        <v>35155</v>
      </c>
      <c r="P14" s="59">
        <f t="shared" si="2"/>
        <v>35155</v>
      </c>
    </row>
    <row r="15" spans="1:16" s="61" customFormat="1" ht="15" customHeight="1">
      <c r="A15" s="62"/>
      <c r="B15" s="63"/>
      <c r="C15" s="58" t="s">
        <v>152</v>
      </c>
      <c r="D15" s="59">
        <f t="shared" si="0"/>
        <v>9484.5</v>
      </c>
      <c r="E15" s="59">
        <f t="shared" si="0"/>
        <v>8450.1</v>
      </c>
      <c r="F15" s="59">
        <f t="shared" si="0"/>
        <v>9484.5</v>
      </c>
      <c r="G15" s="59">
        <f t="shared" si="0"/>
        <v>0</v>
      </c>
      <c r="H15" s="59">
        <f t="shared" si="0"/>
        <v>8450</v>
      </c>
      <c r="I15" s="60" t="s">
        <v>104</v>
      </c>
      <c r="J15" s="59">
        <f>ROUND(J18,1)+ROUND(J20,1)</f>
        <v>8450</v>
      </c>
      <c r="K15" s="60" t="s">
        <v>104</v>
      </c>
      <c r="L15" s="55">
        <f t="shared" si="1"/>
        <v>0.8909273024408245</v>
      </c>
      <c r="M15" s="59">
        <f t="shared" si="2"/>
        <v>8450</v>
      </c>
      <c r="N15" s="59">
        <f t="shared" si="2"/>
        <v>8450</v>
      </c>
      <c r="O15" s="59">
        <f t="shared" si="2"/>
        <v>8450</v>
      </c>
      <c r="P15" s="59">
        <f t="shared" si="2"/>
        <v>8450</v>
      </c>
    </row>
    <row r="16" spans="1:16" s="61" customFormat="1" ht="15" customHeight="1">
      <c r="A16" s="64"/>
      <c r="B16" s="65" t="s">
        <v>220</v>
      </c>
      <c r="C16" s="66"/>
      <c r="D16" s="67" t="str">
        <f>IF(AND(ROUND(D13,2)=ROUND((D15/D14),2),D13&gt;0),"","Ошибка1")</f>
        <v>Ошибка1</v>
      </c>
      <c r="E16" s="67" t="str">
        <f aca="true" t="shared" si="3" ref="E16:J16">IF(AND(ROUND(E13,2)=ROUND((E15/E14),2),E13&gt;0),"","Ошибка1")</f>
        <v>Ошибка1</v>
      </c>
      <c r="F16" s="67" t="str">
        <f t="shared" si="3"/>
        <v>Ошибка1</v>
      </c>
      <c r="G16" s="67" t="e">
        <f t="shared" si="3"/>
        <v>#DIV/0!</v>
      </c>
      <c r="H16" s="67" t="str">
        <f t="shared" si="3"/>
        <v>Ошибка1</v>
      </c>
      <c r="I16" s="68"/>
      <c r="J16" s="67" t="str">
        <f t="shared" si="3"/>
        <v>Ошибка1</v>
      </c>
      <c r="K16" s="68"/>
      <c r="L16" s="55"/>
      <c r="M16" s="67" t="str">
        <f>IF(AND(ROUND(M13,2)=ROUND((M15/M14),2),M13&gt;0),"","Ошибка1")</f>
        <v>Ошибка1</v>
      </c>
      <c r="N16" s="67" t="str">
        <f>IF(AND(ROUND(N13,2)=ROUND((N15/N14),2),N13&gt;0),"","Ошибка1")</f>
        <v>Ошибка1</v>
      </c>
      <c r="O16" s="67" t="str">
        <f>IF(AND(ROUND(O13,2)=ROUND((O15/O14),2),O13&gt;0),"","Ошибка1")</f>
        <v>Ошибка1</v>
      </c>
      <c r="P16" s="67" t="str">
        <f>IF(AND(ROUND(P13,2)=ROUND((P15/P14),2),P13&gt;0),"","Ошибка1")</f>
        <v>Ошибка1</v>
      </c>
    </row>
    <row r="17" spans="1:16" s="61" customFormat="1" ht="214.5" customHeight="1">
      <c r="A17" s="69" t="s">
        <v>158</v>
      </c>
      <c r="B17" s="70" t="s">
        <v>153</v>
      </c>
      <c r="C17" s="71" t="s">
        <v>31</v>
      </c>
      <c r="D17" s="72">
        <v>37938</v>
      </c>
      <c r="E17" s="72">
        <v>35154.6</v>
      </c>
      <c r="F17" s="72">
        <v>37938</v>
      </c>
      <c r="G17" s="72"/>
      <c r="H17" s="72">
        <v>35155</v>
      </c>
      <c r="I17" s="68" t="s">
        <v>242</v>
      </c>
      <c r="J17" s="72">
        <v>35155</v>
      </c>
      <c r="K17" s="68" t="s">
        <v>239</v>
      </c>
      <c r="L17" s="55">
        <f t="shared" si="1"/>
        <v>0.9266434709262481</v>
      </c>
      <c r="M17" s="72">
        <v>35155</v>
      </c>
      <c r="N17" s="72">
        <v>35155</v>
      </c>
      <c r="O17" s="72">
        <v>35155</v>
      </c>
      <c r="P17" s="72">
        <v>35155</v>
      </c>
    </row>
    <row r="18" spans="1:16" s="39" customFormat="1" ht="24.75" customHeight="1">
      <c r="A18" s="73"/>
      <c r="B18" s="74"/>
      <c r="C18" s="75" t="s">
        <v>152</v>
      </c>
      <c r="D18" s="72">
        <v>9484.5</v>
      </c>
      <c r="E18" s="72">
        <v>8450.1</v>
      </c>
      <c r="F18" s="72">
        <v>9484.5</v>
      </c>
      <c r="G18" s="72"/>
      <c r="H18" s="72">
        <v>8450</v>
      </c>
      <c r="I18" s="68"/>
      <c r="J18" s="72">
        <v>8450</v>
      </c>
      <c r="K18" s="68"/>
      <c r="L18" s="55">
        <f t="shared" si="1"/>
        <v>0.8909273024408245</v>
      </c>
      <c r="M18" s="72">
        <v>8450</v>
      </c>
      <c r="N18" s="72">
        <v>8450</v>
      </c>
      <c r="O18" s="72">
        <v>8450</v>
      </c>
      <c r="P18" s="72">
        <v>8450</v>
      </c>
    </row>
    <row r="19" spans="1:16" s="61" customFormat="1" ht="15" customHeight="1">
      <c r="A19" s="69" t="s">
        <v>159</v>
      </c>
      <c r="B19" s="70" t="s">
        <v>154</v>
      </c>
      <c r="C19" s="71" t="s">
        <v>31</v>
      </c>
      <c r="D19" s="72"/>
      <c r="E19" s="72"/>
      <c r="F19" s="72"/>
      <c r="G19" s="72"/>
      <c r="H19" s="72"/>
      <c r="I19" s="68"/>
      <c r="J19" s="72"/>
      <c r="K19" s="68"/>
      <c r="L19" s="55" t="str">
        <f t="shared" si="1"/>
        <v>-</v>
      </c>
      <c r="M19" s="72"/>
      <c r="N19" s="72"/>
      <c r="O19" s="72"/>
      <c r="P19" s="72"/>
    </row>
    <row r="20" spans="1:16" s="61" customFormat="1" ht="15" customHeight="1">
      <c r="A20" s="73"/>
      <c r="B20" s="74"/>
      <c r="C20" s="75" t="s">
        <v>152</v>
      </c>
      <c r="D20" s="72"/>
      <c r="E20" s="72"/>
      <c r="F20" s="72"/>
      <c r="G20" s="72"/>
      <c r="H20" s="72"/>
      <c r="I20" s="68"/>
      <c r="J20" s="72"/>
      <c r="K20" s="68"/>
      <c r="L20" s="55" t="str">
        <f t="shared" si="1"/>
        <v>-</v>
      </c>
      <c r="M20" s="72"/>
      <c r="N20" s="72"/>
      <c r="O20" s="72"/>
      <c r="P20" s="72"/>
    </row>
    <row r="21" spans="1:16" s="61" customFormat="1" ht="15" customHeight="1">
      <c r="A21" s="76" t="s">
        <v>43</v>
      </c>
      <c r="B21" s="77" t="s">
        <v>157</v>
      </c>
      <c r="C21" s="75"/>
      <c r="I21" s="68"/>
      <c r="J21" s="72"/>
      <c r="K21" s="68"/>
      <c r="L21" s="55" t="str">
        <f t="shared" si="1"/>
        <v>-</v>
      </c>
      <c r="M21" s="72"/>
      <c r="N21" s="72"/>
      <c r="O21" s="72"/>
      <c r="P21" s="72"/>
    </row>
    <row r="22" spans="1:16" s="61" customFormat="1" ht="15" customHeight="1">
      <c r="A22" s="69" t="s">
        <v>101</v>
      </c>
      <c r="B22" s="70" t="s">
        <v>160</v>
      </c>
      <c r="C22" s="71" t="s">
        <v>31</v>
      </c>
      <c r="D22" s="72"/>
      <c r="E22" s="72"/>
      <c r="F22" s="72"/>
      <c r="G22" s="72"/>
      <c r="H22" s="72"/>
      <c r="I22" s="68"/>
      <c r="J22" s="72"/>
      <c r="K22" s="68"/>
      <c r="L22" s="55" t="str">
        <f t="shared" si="1"/>
        <v>-</v>
      </c>
      <c r="M22" s="72"/>
      <c r="N22" s="72"/>
      <c r="O22" s="72"/>
      <c r="P22" s="72"/>
    </row>
    <row r="23" spans="1:16" s="61" customFormat="1" ht="15" customHeight="1">
      <c r="A23" s="73"/>
      <c r="B23" s="74"/>
      <c r="C23" s="75" t="s">
        <v>152</v>
      </c>
      <c r="D23" s="72"/>
      <c r="E23" s="72"/>
      <c r="F23" s="72"/>
      <c r="G23" s="72"/>
      <c r="H23" s="72"/>
      <c r="I23" s="68"/>
      <c r="J23" s="72"/>
      <c r="K23" s="68"/>
      <c r="L23" s="55" t="str">
        <f t="shared" si="1"/>
        <v>-</v>
      </c>
      <c r="M23" s="72"/>
      <c r="N23" s="72"/>
      <c r="O23" s="72"/>
      <c r="P23" s="72"/>
    </row>
    <row r="24" spans="1:16" s="61" customFormat="1" ht="15" customHeight="1">
      <c r="A24" s="69" t="s">
        <v>102</v>
      </c>
      <c r="B24" s="70" t="s">
        <v>161</v>
      </c>
      <c r="C24" s="71" t="s">
        <v>31</v>
      </c>
      <c r="D24" s="72">
        <f aca="true" t="shared" si="4" ref="D24:G25">D17</f>
        <v>37938</v>
      </c>
      <c r="E24" s="72">
        <f t="shared" si="4"/>
        <v>35154.6</v>
      </c>
      <c r="F24" s="72">
        <f t="shared" si="4"/>
        <v>37938</v>
      </c>
      <c r="G24" s="72">
        <f t="shared" si="4"/>
        <v>0</v>
      </c>
      <c r="H24" s="72">
        <v>26200</v>
      </c>
      <c r="I24" s="68"/>
      <c r="J24" s="72">
        <v>26200</v>
      </c>
      <c r="K24" s="68"/>
      <c r="L24" s="55">
        <f t="shared" si="1"/>
        <v>0.69060045337129</v>
      </c>
      <c r="M24" s="72">
        <v>26200</v>
      </c>
      <c r="N24" s="72">
        <v>26200</v>
      </c>
      <c r="O24" s="72">
        <v>26200</v>
      </c>
      <c r="P24" s="72">
        <v>26200</v>
      </c>
    </row>
    <row r="25" spans="1:16" s="61" customFormat="1" ht="15" customHeight="1">
      <c r="A25" s="73"/>
      <c r="B25" s="74"/>
      <c r="C25" s="75" t="s">
        <v>152</v>
      </c>
      <c r="D25" s="72">
        <f t="shared" si="4"/>
        <v>9484.5</v>
      </c>
      <c r="E25" s="72">
        <f t="shared" si="4"/>
        <v>8450.1</v>
      </c>
      <c r="F25" s="72">
        <f t="shared" si="4"/>
        <v>9484.5</v>
      </c>
      <c r="G25" s="72">
        <f t="shared" si="4"/>
        <v>0</v>
      </c>
      <c r="H25" s="72">
        <v>6604</v>
      </c>
      <c r="I25" s="68"/>
      <c r="J25" s="72">
        <v>6604</v>
      </c>
      <c r="K25" s="68"/>
      <c r="L25" s="55">
        <f t="shared" si="1"/>
        <v>0.6962939532922137</v>
      </c>
      <c r="M25" s="72">
        <v>6604</v>
      </c>
      <c r="N25" s="72">
        <v>6604</v>
      </c>
      <c r="O25" s="72">
        <v>6604</v>
      </c>
      <c r="P25" s="72">
        <v>6604</v>
      </c>
    </row>
    <row r="26" spans="1:16" s="61" customFormat="1" ht="15" customHeight="1">
      <c r="A26" s="69" t="s">
        <v>103</v>
      </c>
      <c r="B26" s="70" t="s">
        <v>162</v>
      </c>
      <c r="C26" s="71" t="s">
        <v>31</v>
      </c>
      <c r="D26" s="72"/>
      <c r="E26" s="72"/>
      <c r="F26" s="72"/>
      <c r="G26" s="72"/>
      <c r="H26" s="72">
        <v>8955</v>
      </c>
      <c r="I26" s="68"/>
      <c r="J26" s="72">
        <v>8955</v>
      </c>
      <c r="K26" s="68"/>
      <c r="L26" s="55" t="str">
        <f t="shared" si="1"/>
        <v>-</v>
      </c>
      <c r="M26" s="72">
        <v>8955</v>
      </c>
      <c r="N26" s="72">
        <v>8955</v>
      </c>
      <c r="O26" s="72">
        <v>8955</v>
      </c>
      <c r="P26" s="72">
        <v>8955</v>
      </c>
    </row>
    <row r="27" spans="1:16" s="61" customFormat="1" ht="15" customHeight="1">
      <c r="A27" s="73"/>
      <c r="B27" s="74"/>
      <c r="C27" s="75" t="s">
        <v>152</v>
      </c>
      <c r="D27" s="72"/>
      <c r="E27" s="72"/>
      <c r="F27" s="72"/>
      <c r="G27" s="72"/>
      <c r="H27" s="72">
        <v>1846</v>
      </c>
      <c r="I27" s="68"/>
      <c r="J27" s="72">
        <v>1846</v>
      </c>
      <c r="K27" s="68"/>
      <c r="L27" s="55" t="str">
        <f t="shared" si="1"/>
        <v>-</v>
      </c>
      <c r="M27" s="72">
        <v>1846</v>
      </c>
      <c r="N27" s="72">
        <v>1846</v>
      </c>
      <c r="O27" s="72">
        <v>1846</v>
      </c>
      <c r="P27" s="72">
        <v>1846</v>
      </c>
    </row>
    <row r="28" spans="1:16" s="61" customFormat="1" ht="15" customHeight="1">
      <c r="A28" s="50"/>
      <c r="B28" s="65" t="s">
        <v>219</v>
      </c>
      <c r="C28" s="50"/>
      <c r="D28" s="78">
        <f>IF(AND(D14=ROUND((D22+D24+D26),1),D15=ROUND((D23+D25+D27),1)),"","Ошибка2")</f>
      </c>
      <c r="E28" s="78">
        <f aca="true" t="shared" si="5" ref="E28:J28">IF(AND(E14=ROUND((E22+E24+E26),1),E15=ROUND((E23+E25+E27),1)),"","Ошибка2")</f>
      </c>
      <c r="F28" s="78">
        <f t="shared" si="5"/>
      </c>
      <c r="G28" s="78">
        <f t="shared" si="5"/>
      </c>
      <c r="H28" s="78">
        <f t="shared" si="5"/>
      </c>
      <c r="I28" s="68"/>
      <c r="J28" s="78">
        <f t="shared" si="5"/>
      </c>
      <c r="K28" s="68"/>
      <c r="L28" s="55"/>
      <c r="M28" s="78">
        <f>IF(AND(M14=ROUND((M22+M24+M26),1),M15=ROUND((M23+M25+M27),1)),"","Ошибка2")</f>
      </c>
      <c r="N28" s="78">
        <f>IF(AND(N14=ROUND((N22+N24+N26),1),N15=ROUND((N23+N25+N27),1)),"","Ошибка2")</f>
      </c>
      <c r="O28" s="78">
        <f>IF(AND(O14=ROUND((O22+O24+O26),1),O15=ROUND((O23+O25+O27),1)),"","Ошибка2")</f>
      </c>
      <c r="P28" s="78">
        <f>IF(AND(P14=ROUND((P22+P24+P26),1),P15=ROUND((P23+P25+P27),1)),"","Ошибка2")</f>
      </c>
    </row>
    <row r="29" spans="1:16" s="39" customFormat="1" ht="31.5">
      <c r="A29" s="75" t="s">
        <v>44</v>
      </c>
      <c r="B29" s="79" t="s">
        <v>163</v>
      </c>
      <c r="C29" s="75" t="s">
        <v>2</v>
      </c>
      <c r="D29" s="80"/>
      <c r="E29" s="80"/>
      <c r="F29" s="80"/>
      <c r="G29" s="80"/>
      <c r="H29" s="80"/>
      <c r="I29" s="68"/>
      <c r="J29" s="80"/>
      <c r="K29" s="68"/>
      <c r="L29" s="55" t="str">
        <f t="shared" si="1"/>
        <v>-</v>
      </c>
      <c r="M29" s="72"/>
      <c r="N29" s="72"/>
      <c r="O29" s="72"/>
      <c r="P29" s="72"/>
    </row>
    <row r="30" spans="1:16" s="39" customFormat="1" ht="15.75">
      <c r="A30" s="81"/>
      <c r="B30" s="48" t="s">
        <v>62</v>
      </c>
      <c r="C30" s="49"/>
      <c r="D30" s="82"/>
      <c r="E30" s="82"/>
      <c r="F30" s="82"/>
      <c r="G30" s="82"/>
      <c r="H30" s="82"/>
      <c r="I30" s="82"/>
      <c r="J30" s="82"/>
      <c r="K30" s="82"/>
      <c r="L30" s="55" t="str">
        <f t="shared" si="1"/>
        <v>-</v>
      </c>
      <c r="M30" s="82"/>
      <c r="N30" s="83"/>
      <c r="O30" s="82"/>
      <c r="P30" s="83"/>
    </row>
    <row r="31" spans="1:16" s="39" customFormat="1" ht="15.75">
      <c r="A31" s="81"/>
      <c r="B31" s="84" t="s">
        <v>64</v>
      </c>
      <c r="C31" s="85" t="s">
        <v>171</v>
      </c>
      <c r="D31" s="86"/>
      <c r="E31" s="87"/>
      <c r="F31" s="87"/>
      <c r="G31" s="87"/>
      <c r="H31" s="87"/>
      <c r="I31" s="88"/>
      <c r="J31" s="87"/>
      <c r="K31" s="88"/>
      <c r="L31" s="55" t="str">
        <f t="shared" si="1"/>
        <v>-</v>
      </c>
      <c r="M31" s="87"/>
      <c r="N31" s="89"/>
      <c r="O31" s="87"/>
      <c r="P31" s="89"/>
    </row>
    <row r="32" spans="1:16" s="61" customFormat="1" ht="15" customHeight="1">
      <c r="A32" s="90" t="s">
        <v>41</v>
      </c>
      <c r="B32" s="91" t="s">
        <v>6</v>
      </c>
      <c r="C32" s="58" t="s">
        <v>5</v>
      </c>
      <c r="D32" s="59">
        <f>ROUND(D33,1)+ROUND(D97,1)+ROUND(D82,1)</f>
        <v>3329.2999999999997</v>
      </c>
      <c r="E32" s="59">
        <f>ROUND(E33,1)+ROUND(E97,1)+ROUND(E82,1)</f>
        <v>3913.2</v>
      </c>
      <c r="F32" s="59">
        <f>ROUND(F33,1)+ROUND(F97,1)+ROUND(F82,1)</f>
        <v>3117.6</v>
      </c>
      <c r="G32" s="59">
        <f>ROUND(G33,1)+ROUND(G97,1)+ROUND(G82,1)</f>
        <v>0</v>
      </c>
      <c r="H32" s="59">
        <f>ROUND(H33,1)+ROUND(H97,1)+ROUND(H82,1)</f>
        <v>3027.4</v>
      </c>
      <c r="I32" s="60" t="s">
        <v>104</v>
      </c>
      <c r="J32" s="59">
        <f>ROUND(J33,1)+ROUND(J97,1)+ROUND(J82,1)</f>
        <v>2984.8</v>
      </c>
      <c r="K32" s="60" t="s">
        <v>104</v>
      </c>
      <c r="L32" s="55">
        <f t="shared" si="1"/>
        <v>0.9574031306132924</v>
      </c>
      <c r="M32" s="59">
        <f>ROUND(M33,1)+ROUND(M97,1)+ROUND(M82,1)</f>
        <v>3043.6</v>
      </c>
      <c r="N32" s="59">
        <f>ROUND(N33,1)+ROUND(N97,1)+ROUND(N82,1)</f>
        <v>3106.1</v>
      </c>
      <c r="O32" s="59">
        <f>ROUND(O33,1)+ROUND(O97,1)+ROUND(O82,1)</f>
        <v>2989.8</v>
      </c>
      <c r="P32" s="59">
        <f>ROUND(P33,1)+ROUND(P97,1)+ROUND(P82,1)</f>
        <v>3056</v>
      </c>
    </row>
    <row r="33" spans="1:16" s="61" customFormat="1" ht="46.5" customHeight="1">
      <c r="A33" s="92" t="s">
        <v>66</v>
      </c>
      <c r="B33" s="93" t="s">
        <v>169</v>
      </c>
      <c r="C33" s="58" t="s">
        <v>5</v>
      </c>
      <c r="D33" s="59">
        <f>ROUND(D39,1)+ROUND(D56,1)+ROUND(D63,1)</f>
        <v>2369.2</v>
      </c>
      <c r="E33" s="59">
        <f>ROUND(E39,1)+ROUND(E56,1)+ROUND(E63,1)</f>
        <v>2484.6000000000004</v>
      </c>
      <c r="F33" s="59">
        <f>ROUND(F39,1)+ROUND(F56,1)+ROUND(F63,1)</f>
        <v>1825.3000000000002</v>
      </c>
      <c r="G33" s="59">
        <f>ROUND(G39,1)+ROUND(G56,1)+ROUND(G63,1)</f>
        <v>0</v>
      </c>
      <c r="H33" s="59">
        <f>ROUND(H39,1)+ROUND(H56,1)+ROUND(H63,1)</f>
        <v>1980.1999999999998</v>
      </c>
      <c r="I33" s="68" t="s">
        <v>104</v>
      </c>
      <c r="J33" s="59">
        <f>ROUND(J39,1)+ROUND(J56,1)+ROUND(J63,1)</f>
        <v>1937.6</v>
      </c>
      <c r="K33" s="68" t="s">
        <v>241</v>
      </c>
      <c r="L33" s="55">
        <f t="shared" si="1"/>
        <v>1.0615241330192295</v>
      </c>
      <c r="M33" s="59">
        <f>J33*M36*(1-M35)*(M15/J15)</f>
        <v>1993.0347359999998</v>
      </c>
      <c r="N33" s="59">
        <f>M33*N36*(1-N35)*(N15/M15)</f>
        <v>2052.0285641856</v>
      </c>
      <c r="O33" s="59">
        <f>N33*O36*(1-O35)*(O15/N15)</f>
        <v>2112.7686096854936</v>
      </c>
      <c r="P33" s="59">
        <f>O33*P36*(1-P35)*(P15/O15)</f>
        <v>2175.3065605321844</v>
      </c>
    </row>
    <row r="34" spans="1:16" s="61" customFormat="1" ht="15" customHeight="1">
      <c r="A34" s="75"/>
      <c r="B34" s="94" t="s">
        <v>63</v>
      </c>
      <c r="C34" s="71"/>
      <c r="D34" s="72"/>
      <c r="E34" s="72"/>
      <c r="F34" s="72"/>
      <c r="G34" s="72"/>
      <c r="H34" s="72"/>
      <c r="I34" s="68"/>
      <c r="J34" s="72"/>
      <c r="K34" s="68"/>
      <c r="L34" s="55" t="str">
        <f t="shared" si="1"/>
        <v>-</v>
      </c>
      <c r="M34" s="72"/>
      <c r="N34" s="72"/>
      <c r="O34" s="72"/>
      <c r="P34" s="72"/>
    </row>
    <row r="35" spans="1:16" s="61" customFormat="1" ht="31.5" customHeight="1">
      <c r="A35" s="75"/>
      <c r="B35" s="95" t="s">
        <v>20</v>
      </c>
      <c r="C35" s="96" t="s">
        <v>2</v>
      </c>
      <c r="D35" s="97">
        <v>0.01</v>
      </c>
      <c r="E35" s="72" t="s">
        <v>16</v>
      </c>
      <c r="F35" s="97">
        <v>0.01</v>
      </c>
      <c r="G35" s="97" t="s">
        <v>16</v>
      </c>
      <c r="H35" s="97">
        <v>0.01</v>
      </c>
      <c r="I35" s="68"/>
      <c r="J35" s="97">
        <v>0.01</v>
      </c>
      <c r="K35" s="68" t="s">
        <v>221</v>
      </c>
      <c r="L35" s="55"/>
      <c r="M35" s="97">
        <v>0.01</v>
      </c>
      <c r="N35" s="97">
        <v>0.01</v>
      </c>
      <c r="O35" s="97">
        <v>0.01</v>
      </c>
      <c r="P35" s="97">
        <v>0.01</v>
      </c>
    </row>
    <row r="36" spans="1:16" s="61" customFormat="1" ht="15.75">
      <c r="A36" s="75"/>
      <c r="B36" s="95" t="s">
        <v>7</v>
      </c>
      <c r="C36" s="96" t="s">
        <v>2</v>
      </c>
      <c r="D36" s="97">
        <v>1.046</v>
      </c>
      <c r="E36" s="97">
        <v>1.045</v>
      </c>
      <c r="F36" s="97">
        <v>1.03</v>
      </c>
      <c r="G36" s="97">
        <v>1.032</v>
      </c>
      <c r="H36" s="98">
        <v>1.04</v>
      </c>
      <c r="I36" s="68"/>
      <c r="J36" s="97">
        <v>1.036</v>
      </c>
      <c r="K36" s="99" t="s">
        <v>230</v>
      </c>
      <c r="L36" s="55">
        <f t="shared" si="1"/>
        <v>1.0058252427184466</v>
      </c>
      <c r="M36" s="97">
        <v>1.039</v>
      </c>
      <c r="N36" s="97">
        <v>1.04</v>
      </c>
      <c r="O36" s="97">
        <v>1.04</v>
      </c>
      <c r="P36" s="97">
        <v>1.04</v>
      </c>
    </row>
    <row r="37" spans="1:16" s="61" customFormat="1" ht="114.75" customHeight="1">
      <c r="A37" s="75"/>
      <c r="B37" s="100" t="s">
        <v>223</v>
      </c>
      <c r="C37" s="96" t="s">
        <v>2</v>
      </c>
      <c r="D37" s="97">
        <v>1.059</v>
      </c>
      <c r="E37" s="97">
        <v>1.041</v>
      </c>
      <c r="F37" s="97">
        <v>1.048</v>
      </c>
      <c r="G37" s="97">
        <v>1.032</v>
      </c>
      <c r="H37" s="98">
        <v>1.04</v>
      </c>
      <c r="I37" s="68"/>
      <c r="J37" s="97">
        <v>1.04</v>
      </c>
      <c r="K37" s="101"/>
      <c r="L37" s="55">
        <f t="shared" si="1"/>
        <v>0.9923664122137404</v>
      </c>
      <c r="M37" s="97">
        <v>1.04</v>
      </c>
      <c r="N37" s="97">
        <v>1.04</v>
      </c>
      <c r="O37" s="97">
        <v>1.04</v>
      </c>
      <c r="P37" s="97">
        <v>1.04</v>
      </c>
    </row>
    <row r="38" spans="1:16" s="61" customFormat="1" ht="31.5">
      <c r="A38" s="75"/>
      <c r="B38" s="102" t="s">
        <v>231</v>
      </c>
      <c r="C38" s="103" t="s">
        <v>2</v>
      </c>
      <c r="D38" s="104">
        <v>0.303</v>
      </c>
      <c r="E38" s="104">
        <v>0.303</v>
      </c>
      <c r="F38" s="104">
        <v>0.303</v>
      </c>
      <c r="G38" s="104">
        <v>0.303</v>
      </c>
      <c r="H38" s="104">
        <v>0.303</v>
      </c>
      <c r="I38" s="68"/>
      <c r="J38" s="104">
        <v>0.303</v>
      </c>
      <c r="K38" s="105" t="s">
        <v>238</v>
      </c>
      <c r="L38" s="55"/>
      <c r="M38" s="104">
        <f>$J$38</f>
        <v>0.303</v>
      </c>
      <c r="N38" s="104">
        <f>$J$38</f>
        <v>0.303</v>
      </c>
      <c r="O38" s="104">
        <f>$J$38</f>
        <v>0.303</v>
      </c>
      <c r="P38" s="104">
        <f>$J$38</f>
        <v>0.303</v>
      </c>
    </row>
    <row r="39" spans="1:16" s="61" customFormat="1" ht="15" customHeight="1">
      <c r="A39" s="92" t="s">
        <v>69</v>
      </c>
      <c r="B39" s="93" t="s">
        <v>94</v>
      </c>
      <c r="C39" s="58" t="s">
        <v>5</v>
      </c>
      <c r="D39" s="59">
        <f>ROUND(D40,1)+ROUND(D44,1)+ROUND(D45,1)+ROUND(D54,1)+ROUND(D55,1)</f>
        <v>2317.6</v>
      </c>
      <c r="E39" s="59">
        <f aca="true" t="shared" si="6" ref="E39:J39">ROUND(E40,1)+ROUND(E44,1)+ROUND(E45,1)+ROUND(E54,1)+ROUND(E55,1)</f>
        <v>2432.3</v>
      </c>
      <c r="F39" s="59">
        <f t="shared" si="6"/>
        <v>1772.7</v>
      </c>
      <c r="G39" s="59">
        <f t="shared" si="6"/>
        <v>0</v>
      </c>
      <c r="H39" s="59">
        <f t="shared" si="6"/>
        <v>1947.3</v>
      </c>
      <c r="I39" s="106" t="s">
        <v>104</v>
      </c>
      <c r="J39" s="59">
        <f t="shared" si="6"/>
        <v>1904.7</v>
      </c>
      <c r="K39" s="106" t="s">
        <v>104</v>
      </c>
      <c r="L39" s="55">
        <f t="shared" si="1"/>
        <v>1.074462684041293</v>
      </c>
      <c r="M39" s="59">
        <f aca="true" t="shared" si="7" ref="M39:M47">J39*$M$36*(1-$M$35)*($M$15/$J$15)</f>
        <v>1959.1934669999998</v>
      </c>
      <c r="N39" s="59">
        <f>M39*$N$36*(1-$N$35)*($N$15/$M$15)</f>
        <v>2017.1855936231998</v>
      </c>
      <c r="O39" s="59">
        <f>N39*$O$36*(1-$O$35)*($O$15/$N$15)</f>
        <v>2076.8942871944464</v>
      </c>
      <c r="P39" s="59">
        <f>O39*$P$36*(1-$P$35)*($P$15/$O$15)</f>
        <v>2138.370358095402</v>
      </c>
    </row>
    <row r="40" spans="1:16" s="39" customFormat="1" ht="31.5">
      <c r="A40" s="90" t="s">
        <v>72</v>
      </c>
      <c r="B40" s="107" t="s">
        <v>189</v>
      </c>
      <c r="C40" s="90" t="s">
        <v>5</v>
      </c>
      <c r="D40" s="108">
        <f>SUM(D41:D43)</f>
        <v>421</v>
      </c>
      <c r="E40" s="108">
        <f aca="true" t="shared" si="8" ref="E40:J40">SUM(E41:E43)</f>
        <v>284.5</v>
      </c>
      <c r="F40" s="108">
        <f t="shared" si="8"/>
        <v>429.3</v>
      </c>
      <c r="G40" s="108">
        <f t="shared" si="8"/>
        <v>0</v>
      </c>
      <c r="H40" s="108">
        <f t="shared" si="8"/>
        <v>306.75</v>
      </c>
      <c r="I40" s="68"/>
      <c r="J40" s="108">
        <f t="shared" si="8"/>
        <v>306.80000000000007</v>
      </c>
      <c r="K40" s="106" t="s">
        <v>104</v>
      </c>
      <c r="L40" s="55">
        <f t="shared" si="1"/>
        <v>0.7146517586769161</v>
      </c>
      <c r="M40" s="59">
        <f t="shared" si="7"/>
        <v>315.57754800000004</v>
      </c>
      <c r="N40" s="59">
        <f>M40*$N$36*(1-$N$35)*($N$15/$M$15)</f>
        <v>324.91864342080004</v>
      </c>
      <c r="O40" s="59">
        <f>N40*$N$36*(1-$N$35)*($N$15/$M$15)</f>
        <v>334.5362352660557</v>
      </c>
      <c r="P40" s="59">
        <f aca="true" t="shared" si="9" ref="P40:P81">O40*$P$36*(1-$P$35)*($P$15/$O$15)</f>
        <v>344.438507829931</v>
      </c>
    </row>
    <row r="41" spans="1:18" s="61" customFormat="1" ht="78.75">
      <c r="A41" s="75"/>
      <c r="B41" s="100" t="s">
        <v>186</v>
      </c>
      <c r="C41" s="75" t="s">
        <v>5</v>
      </c>
      <c r="D41" s="80">
        <v>30.6</v>
      </c>
      <c r="E41" s="80">
        <v>29.2</v>
      </c>
      <c r="F41" s="80">
        <v>31.2</v>
      </c>
      <c r="G41" s="80"/>
      <c r="H41" s="80">
        <v>13.08</v>
      </c>
      <c r="I41" s="68" t="s">
        <v>267</v>
      </c>
      <c r="J41" s="80">
        <v>13.1</v>
      </c>
      <c r="K41" s="68" t="s">
        <v>240</v>
      </c>
      <c r="L41" s="55">
        <f t="shared" si="1"/>
        <v>0.4198717948717949</v>
      </c>
      <c r="M41" s="109">
        <f t="shared" si="7"/>
        <v>13.474791</v>
      </c>
      <c r="N41" s="109">
        <f aca="true" t="shared" si="10" ref="N41:N47">M41*$N$36*(1-$N$35)*($N$15/$M$15)</f>
        <v>13.8736448136</v>
      </c>
      <c r="O41" s="109">
        <f aca="true" t="shared" si="11" ref="O41:O81">N41*$N$36*(1-$N$35)*($N$15/$M$15)</f>
        <v>14.28430470008256</v>
      </c>
      <c r="P41" s="109">
        <f t="shared" si="9"/>
        <v>14.707120119205003</v>
      </c>
      <c r="Q41" s="110"/>
      <c r="R41" s="110"/>
    </row>
    <row r="42" spans="1:18" s="61" customFormat="1" ht="78.75">
      <c r="A42" s="75"/>
      <c r="B42" s="100" t="s">
        <v>187</v>
      </c>
      <c r="C42" s="75" t="s">
        <v>5</v>
      </c>
      <c r="D42" s="80">
        <v>385.9</v>
      </c>
      <c r="E42" s="80">
        <v>254.3</v>
      </c>
      <c r="F42" s="80">
        <v>393.5</v>
      </c>
      <c r="G42" s="80"/>
      <c r="H42" s="80">
        <v>293.12</v>
      </c>
      <c r="I42" s="68" t="s">
        <v>268</v>
      </c>
      <c r="J42" s="80">
        <v>293.1</v>
      </c>
      <c r="K42" s="68" t="s">
        <v>240</v>
      </c>
      <c r="L42" s="55">
        <f t="shared" si="1"/>
        <v>0.7448538754764931</v>
      </c>
      <c r="M42" s="109">
        <f t="shared" si="7"/>
        <v>301.485591</v>
      </c>
      <c r="N42" s="109">
        <f t="shared" si="10"/>
        <v>310.40956449360004</v>
      </c>
      <c r="O42" s="109">
        <f t="shared" si="11"/>
        <v>319.5976876026106</v>
      </c>
      <c r="P42" s="109">
        <f t="shared" si="9"/>
        <v>329.0577791556479</v>
      </c>
      <c r="Q42" s="110"/>
      <c r="R42" s="110"/>
    </row>
    <row r="43" spans="1:18" s="61" customFormat="1" ht="78.75">
      <c r="A43" s="75"/>
      <c r="B43" s="100" t="s">
        <v>188</v>
      </c>
      <c r="C43" s="75" t="s">
        <v>5</v>
      </c>
      <c r="D43" s="80">
        <v>4.5</v>
      </c>
      <c r="E43" s="80">
        <v>1</v>
      </c>
      <c r="F43" s="80">
        <v>4.6</v>
      </c>
      <c r="G43" s="80"/>
      <c r="H43" s="80">
        <v>0.55</v>
      </c>
      <c r="I43" s="68" t="s">
        <v>269</v>
      </c>
      <c r="J43" s="80">
        <v>0.6</v>
      </c>
      <c r="K43" s="68" t="s">
        <v>240</v>
      </c>
      <c r="L43" s="55">
        <f t="shared" si="1"/>
        <v>0.13043478260869565</v>
      </c>
      <c r="M43" s="109">
        <f>J43*$M$36*(1-$M$35)*($M$15/$J$15)</f>
        <v>0.617166</v>
      </c>
      <c r="N43" s="109">
        <f t="shared" si="10"/>
        <v>0.6354341136</v>
      </c>
      <c r="O43" s="109">
        <f t="shared" si="11"/>
        <v>0.65424296336256</v>
      </c>
      <c r="P43" s="109">
        <f t="shared" si="9"/>
        <v>0.6736085550780919</v>
      </c>
      <c r="Q43" s="110"/>
      <c r="R43" s="110"/>
    </row>
    <row r="44" spans="1:18" s="39" customFormat="1" ht="92.25" customHeight="1">
      <c r="A44" s="75" t="s">
        <v>73</v>
      </c>
      <c r="B44" s="111" t="s">
        <v>173</v>
      </c>
      <c r="C44" s="47" t="s">
        <v>5</v>
      </c>
      <c r="D44" s="80"/>
      <c r="E44" s="80"/>
      <c r="F44" s="80"/>
      <c r="G44" s="80"/>
      <c r="H44" s="80"/>
      <c r="I44" s="68"/>
      <c r="J44" s="80"/>
      <c r="K44" s="68"/>
      <c r="L44" s="55" t="str">
        <f t="shared" si="1"/>
        <v>-</v>
      </c>
      <c r="M44" s="109">
        <f>J44*$M$36*(1-$M$35)*($M$15/$J$15)</f>
        <v>0</v>
      </c>
      <c r="N44" s="109">
        <f t="shared" si="10"/>
        <v>0</v>
      </c>
      <c r="O44" s="109">
        <f t="shared" si="11"/>
        <v>0</v>
      </c>
      <c r="P44" s="109">
        <f t="shared" si="9"/>
        <v>0</v>
      </c>
      <c r="Q44" s="110"/>
      <c r="R44" s="110"/>
    </row>
    <row r="45" spans="1:16" s="61" customFormat="1" ht="47.25">
      <c r="A45" s="90" t="s">
        <v>74</v>
      </c>
      <c r="B45" s="107" t="s">
        <v>76</v>
      </c>
      <c r="C45" s="58" t="s">
        <v>5</v>
      </c>
      <c r="D45" s="59">
        <f>ROUND(D46,1)+ROUND(D49,1)+ROUND(D50,1)+ROUND(D53,1)</f>
        <v>1034.8999999999999</v>
      </c>
      <c r="E45" s="59">
        <f aca="true" t="shared" si="12" ref="E45:J45">ROUND(E46,1)+ROUND(E49,1)+ROUND(E50,1)+ROUND(E53,1)</f>
        <v>663.5999999999999</v>
      </c>
      <c r="F45" s="59">
        <f t="shared" si="12"/>
        <v>738.1</v>
      </c>
      <c r="G45" s="59">
        <f t="shared" si="12"/>
        <v>0</v>
      </c>
      <c r="H45" s="59">
        <f t="shared" si="12"/>
        <v>963.6999999999999</v>
      </c>
      <c r="I45" s="106" t="s">
        <v>104</v>
      </c>
      <c r="J45" s="59">
        <f t="shared" si="12"/>
        <v>963.6999999999999</v>
      </c>
      <c r="K45" s="106" t="s">
        <v>104</v>
      </c>
      <c r="L45" s="55">
        <f t="shared" si="1"/>
        <v>1.3056496409700582</v>
      </c>
      <c r="M45" s="59">
        <f>J45*$M$36*(1-$M$35)*($M$15/$J$15)</f>
        <v>991.2714569999998</v>
      </c>
      <c r="N45" s="59">
        <f t="shared" si="10"/>
        <v>1020.6130921271998</v>
      </c>
      <c r="O45" s="59">
        <f t="shared" si="11"/>
        <v>1050.823239654165</v>
      </c>
      <c r="P45" s="59">
        <f t="shared" si="9"/>
        <v>1081.9276075479283</v>
      </c>
    </row>
    <row r="46" spans="1:16" s="39" customFormat="1" ht="78.75">
      <c r="A46" s="75" t="s">
        <v>75</v>
      </c>
      <c r="B46" s="100" t="s">
        <v>33</v>
      </c>
      <c r="C46" s="47" t="s">
        <v>5</v>
      </c>
      <c r="D46" s="80">
        <v>669.8</v>
      </c>
      <c r="E46" s="80">
        <v>398.95</v>
      </c>
      <c r="F46" s="80">
        <v>465.8</v>
      </c>
      <c r="G46" s="80"/>
      <c r="H46" s="80">
        <v>699.3</v>
      </c>
      <c r="I46" s="68" t="s">
        <v>243</v>
      </c>
      <c r="J46" s="80">
        <v>699.3</v>
      </c>
      <c r="K46" s="68" t="s">
        <v>240</v>
      </c>
      <c r="L46" s="55">
        <f t="shared" si="1"/>
        <v>1.501288106483469</v>
      </c>
      <c r="M46" s="109">
        <f t="shared" si="7"/>
        <v>719.306973</v>
      </c>
      <c r="N46" s="109">
        <f t="shared" si="10"/>
        <v>740.5984594008</v>
      </c>
      <c r="O46" s="109">
        <f t="shared" si="11"/>
        <v>762.5201737990637</v>
      </c>
      <c r="P46" s="109">
        <f t="shared" si="9"/>
        <v>785.090770943516</v>
      </c>
    </row>
    <row r="47" spans="1:16" s="39" customFormat="1" ht="210" customHeight="1">
      <c r="A47" s="75"/>
      <c r="B47" s="112" t="s">
        <v>34</v>
      </c>
      <c r="C47" s="47" t="s">
        <v>47</v>
      </c>
      <c r="D47" s="80">
        <f>D46/D48/12*1000</f>
        <v>11163.333333333332</v>
      </c>
      <c r="E47" s="80">
        <f>E46/E48/12*1000</f>
        <v>7470.973782771534</v>
      </c>
      <c r="F47" s="80">
        <f>F46/F48/12*1000</f>
        <v>12130.208333333334</v>
      </c>
      <c r="G47" s="80" t="e">
        <f>G46/G48/12*1000</f>
        <v>#DIV/0!</v>
      </c>
      <c r="H47" s="80">
        <f>H46/H48/12*1000</f>
        <v>14942.307692307691</v>
      </c>
      <c r="I47" s="68" t="s">
        <v>244</v>
      </c>
      <c r="J47" s="80">
        <f>J46/J48/12*1000</f>
        <v>14790.609137055837</v>
      </c>
      <c r="K47" s="68" t="s">
        <v>245</v>
      </c>
      <c r="L47" s="55">
        <f t="shared" si="1"/>
        <v>1.219320289529721</v>
      </c>
      <c r="M47" s="109">
        <f t="shared" si="7"/>
        <v>15213.768464467004</v>
      </c>
      <c r="N47" s="109">
        <f t="shared" si="10"/>
        <v>15664.096011015228</v>
      </c>
      <c r="O47" s="109">
        <f t="shared" si="11"/>
        <v>16127.753252941278</v>
      </c>
      <c r="P47" s="109">
        <f t="shared" si="9"/>
        <v>16605.134749228342</v>
      </c>
    </row>
    <row r="48" spans="1:16" s="39" customFormat="1" ht="79.5" customHeight="1">
      <c r="A48" s="75"/>
      <c r="B48" s="112" t="s">
        <v>35</v>
      </c>
      <c r="C48" s="47" t="s">
        <v>48</v>
      </c>
      <c r="D48" s="80">
        <v>5</v>
      </c>
      <c r="E48" s="80">
        <v>4.45</v>
      </c>
      <c r="F48" s="80">
        <v>3.2</v>
      </c>
      <c r="G48" s="80"/>
      <c r="H48" s="80">
        <v>3.9</v>
      </c>
      <c r="I48" s="68" t="s">
        <v>243</v>
      </c>
      <c r="J48" s="80">
        <v>3.94</v>
      </c>
      <c r="K48" s="113" t="s">
        <v>248</v>
      </c>
      <c r="L48" s="55">
        <f t="shared" si="1"/>
        <v>1.23125</v>
      </c>
      <c r="M48" s="109"/>
      <c r="N48" s="109"/>
      <c r="O48" s="109"/>
      <c r="P48" s="109"/>
    </row>
    <row r="49" spans="1:16" s="39" customFormat="1" ht="109.5" customHeight="1">
      <c r="A49" s="114" t="s">
        <v>77</v>
      </c>
      <c r="B49" s="93" t="s">
        <v>36</v>
      </c>
      <c r="C49" s="58" t="s">
        <v>5</v>
      </c>
      <c r="D49" s="59">
        <f>D46*$D$38</f>
        <v>202.94939999999997</v>
      </c>
      <c r="E49" s="59">
        <f>E46*$E$38</f>
        <v>120.88185</v>
      </c>
      <c r="F49" s="59">
        <f>F46*$F$38</f>
        <v>141.13739999999999</v>
      </c>
      <c r="G49" s="59">
        <f>G46*$F$38</f>
        <v>0</v>
      </c>
      <c r="H49" s="59">
        <f>H46*$H$38</f>
        <v>211.88789999999997</v>
      </c>
      <c r="I49" s="68" t="s">
        <v>246</v>
      </c>
      <c r="J49" s="59">
        <f>J46*$J$38</f>
        <v>211.88789999999997</v>
      </c>
      <c r="K49" s="115" t="s">
        <v>251</v>
      </c>
      <c r="L49" s="55">
        <f t="shared" si="1"/>
        <v>1.5012881064834693</v>
      </c>
      <c r="M49" s="59">
        <f>J49*$M$36*(1-$M$35)*($M$15/$J$15)</f>
        <v>217.95001281899994</v>
      </c>
      <c r="N49" s="59">
        <f>M49*$N$36*(1-$N$35)*($N$15/$M$15)</f>
        <v>224.40133319844233</v>
      </c>
      <c r="O49" s="59">
        <f t="shared" si="11"/>
        <v>231.04361266111624</v>
      </c>
      <c r="P49" s="59">
        <f t="shared" si="9"/>
        <v>237.88250359588528</v>
      </c>
    </row>
    <row r="50" spans="1:16" s="39" customFormat="1" ht="94.5">
      <c r="A50" s="75" t="s">
        <v>78</v>
      </c>
      <c r="B50" s="100" t="s">
        <v>37</v>
      </c>
      <c r="C50" s="47" t="s">
        <v>5</v>
      </c>
      <c r="D50" s="80">
        <v>124.5</v>
      </c>
      <c r="E50" s="80">
        <v>110.25</v>
      </c>
      <c r="F50" s="80">
        <v>100.7</v>
      </c>
      <c r="G50" s="80"/>
      <c r="H50" s="80">
        <v>40.31497</v>
      </c>
      <c r="I50" s="68" t="s">
        <v>247</v>
      </c>
      <c r="J50" s="116">
        <v>40.31497</v>
      </c>
      <c r="K50" s="68" t="s">
        <v>240</v>
      </c>
      <c r="L50" s="55">
        <f t="shared" si="1"/>
        <v>0.40034726911618673</v>
      </c>
      <c r="M50" s="109">
        <f>J50*$M$36*(1-$M$35)*($M$15/$J$15)</f>
        <v>41.4683812917</v>
      </c>
      <c r="N50" s="109">
        <f>M50*$N$36*(1-$N$35)*($N$15/$M$15)</f>
        <v>42.69584537793432</v>
      </c>
      <c r="O50" s="109">
        <f t="shared" si="11"/>
        <v>43.95964240112118</v>
      </c>
      <c r="P50" s="109">
        <f t="shared" si="9"/>
        <v>45.260847816194364</v>
      </c>
    </row>
    <row r="51" spans="1:16" s="39" customFormat="1" ht="208.5" customHeight="1">
      <c r="A51" s="75"/>
      <c r="B51" s="112" t="s">
        <v>38</v>
      </c>
      <c r="C51" s="47" t="s">
        <v>47</v>
      </c>
      <c r="D51" s="80">
        <f>D50/D52/12*1000</f>
        <v>20750</v>
      </c>
      <c r="E51" s="80">
        <f>E50/E52/12*1000</f>
        <v>14583.333333333334</v>
      </c>
      <c r="F51" s="80">
        <f>F50/F52/12*1000</f>
        <v>20979.166666666668</v>
      </c>
      <c r="G51" s="80" t="e">
        <f>G50/G52/12*1000</f>
        <v>#DIV/0!</v>
      </c>
      <c r="H51" s="80">
        <f>H50/H52/12*1000</f>
        <v>16797.904166666664</v>
      </c>
      <c r="I51" s="68" t="s">
        <v>244</v>
      </c>
      <c r="J51" s="80">
        <f>J50/J52/12*1000</f>
        <v>16797.904166666664</v>
      </c>
      <c r="K51" s="68" t="s">
        <v>245</v>
      </c>
      <c r="L51" s="55">
        <f t="shared" si="1"/>
        <v>0.8006945382323732</v>
      </c>
      <c r="M51" s="109">
        <f>J51*$M$36*(1-$M$35)*($M$15/$J$15)</f>
        <v>17278.492204874998</v>
      </c>
      <c r="N51" s="109">
        <f>M51*$N$36*(1-$N$35)*($N$15/$M$15)</f>
        <v>17789.9355741393</v>
      </c>
      <c r="O51" s="109">
        <f t="shared" si="11"/>
        <v>18316.517667133827</v>
      </c>
      <c r="P51" s="109">
        <f t="shared" si="9"/>
        <v>18858.68659008099</v>
      </c>
    </row>
    <row r="52" spans="1:16" s="39" customFormat="1" ht="97.5" customHeight="1">
      <c r="A52" s="75"/>
      <c r="B52" s="112" t="s">
        <v>39</v>
      </c>
      <c r="C52" s="47" t="s">
        <v>48</v>
      </c>
      <c r="D52" s="80">
        <v>0.5</v>
      </c>
      <c r="E52" s="80">
        <v>0.63</v>
      </c>
      <c r="F52" s="80">
        <v>0.4</v>
      </c>
      <c r="G52" s="80"/>
      <c r="H52" s="80">
        <v>0.2</v>
      </c>
      <c r="I52" s="68" t="s">
        <v>247</v>
      </c>
      <c r="J52" s="80">
        <v>0.2</v>
      </c>
      <c r="K52" s="113" t="s">
        <v>248</v>
      </c>
      <c r="L52" s="55">
        <f t="shared" si="1"/>
        <v>0.5</v>
      </c>
      <c r="M52" s="109"/>
      <c r="N52" s="109"/>
      <c r="O52" s="109"/>
      <c r="P52" s="109"/>
    </row>
    <row r="53" spans="1:16" s="39" customFormat="1" ht="110.25">
      <c r="A53" s="114" t="s">
        <v>79</v>
      </c>
      <c r="B53" s="93" t="s">
        <v>40</v>
      </c>
      <c r="C53" s="58" t="s">
        <v>5</v>
      </c>
      <c r="D53" s="59">
        <f>D50*$D$38</f>
        <v>37.7235</v>
      </c>
      <c r="E53" s="59">
        <f>E50*$E$38</f>
        <v>33.40575</v>
      </c>
      <c r="F53" s="59">
        <f>F50*$F$38</f>
        <v>30.5121</v>
      </c>
      <c r="G53" s="117"/>
      <c r="H53" s="59">
        <f>H50*$H$38</f>
        <v>12.21543591</v>
      </c>
      <c r="I53" s="68" t="s">
        <v>246</v>
      </c>
      <c r="J53" s="59">
        <f>J50*$J$38</f>
        <v>12.21543591</v>
      </c>
      <c r="K53" s="115" t="s">
        <v>251</v>
      </c>
      <c r="L53" s="55">
        <f t="shared" si="1"/>
        <v>0.4003472691161867</v>
      </c>
      <c r="M53" s="59">
        <f aca="true" t="shared" si="13" ref="M53:M60">J53*$M$36*(1-$M$35)*($M$15/$J$15)</f>
        <v>12.5649195313851</v>
      </c>
      <c r="N53" s="59">
        <f aca="true" t="shared" si="14" ref="N53:N60">M53*$N$36*(1-$N$35)*($N$15/$M$15)</f>
        <v>12.936841149514098</v>
      </c>
      <c r="O53" s="59">
        <f t="shared" si="11"/>
        <v>13.319771647539715</v>
      </c>
      <c r="P53" s="59">
        <f t="shared" si="9"/>
        <v>13.714036888306891</v>
      </c>
    </row>
    <row r="54" spans="1:16" s="39" customFormat="1" ht="99" customHeight="1">
      <c r="A54" s="75" t="s">
        <v>80</v>
      </c>
      <c r="B54" s="111" t="s">
        <v>82</v>
      </c>
      <c r="C54" s="75" t="s">
        <v>5</v>
      </c>
      <c r="D54" s="80">
        <v>627.6</v>
      </c>
      <c r="E54" s="80">
        <v>539.3</v>
      </c>
      <c r="F54" s="80">
        <v>366.6</v>
      </c>
      <c r="G54" s="80"/>
      <c r="H54" s="80">
        <v>543.47</v>
      </c>
      <c r="I54" s="68" t="s">
        <v>253</v>
      </c>
      <c r="J54" s="116">
        <v>500.8757</v>
      </c>
      <c r="K54" s="68" t="s">
        <v>249</v>
      </c>
      <c r="L54" s="55">
        <f t="shared" si="1"/>
        <v>1.3662730496453899</v>
      </c>
      <c r="M54" s="109">
        <f t="shared" si="13"/>
        <v>515.205753777</v>
      </c>
      <c r="N54" s="109">
        <f t="shared" si="14"/>
        <v>530.4558440887992</v>
      </c>
      <c r="O54" s="109">
        <f t="shared" si="11"/>
        <v>546.1573370738276</v>
      </c>
      <c r="P54" s="109">
        <f t="shared" si="9"/>
        <v>562.323594251213</v>
      </c>
    </row>
    <row r="55" spans="1:16" s="61" customFormat="1" ht="94.5">
      <c r="A55" s="75" t="s">
        <v>81</v>
      </c>
      <c r="B55" s="111" t="s">
        <v>213</v>
      </c>
      <c r="C55" s="71" t="s">
        <v>5</v>
      </c>
      <c r="D55" s="80">
        <v>234.13</v>
      </c>
      <c r="E55" s="80">
        <v>944.9</v>
      </c>
      <c r="F55" s="80">
        <v>238.7</v>
      </c>
      <c r="G55" s="80"/>
      <c r="H55" s="80">
        <v>133.28</v>
      </c>
      <c r="I55" s="68" t="s">
        <v>255</v>
      </c>
      <c r="J55" s="80">
        <v>133.3</v>
      </c>
      <c r="K55" s="68" t="s">
        <v>240</v>
      </c>
      <c r="L55" s="55">
        <f t="shared" si="1"/>
        <v>0.5584415584415585</v>
      </c>
      <c r="M55" s="109">
        <f>J55*$M$36*(1-$M$35)*($M$15/$J$15)</f>
        <v>137.11371300000002</v>
      </c>
      <c r="N55" s="109">
        <f t="shared" si="14"/>
        <v>141.1722789048</v>
      </c>
      <c r="O55" s="109">
        <f t="shared" si="11"/>
        <v>145.35097836038207</v>
      </c>
      <c r="P55" s="109">
        <f t="shared" si="9"/>
        <v>149.65336731984937</v>
      </c>
    </row>
    <row r="56" spans="1:16" s="61" customFormat="1" ht="15" customHeight="1">
      <c r="A56" s="114" t="s">
        <v>70</v>
      </c>
      <c r="B56" s="93" t="s">
        <v>190</v>
      </c>
      <c r="C56" s="58" t="s">
        <v>5</v>
      </c>
      <c r="D56" s="59">
        <f>ROUND(D57,1)+ROUND(D58,1)+ROUND(D59,1)+ROUND(D62,1)</f>
        <v>28.1</v>
      </c>
      <c r="E56" s="59">
        <f aca="true" t="shared" si="15" ref="E56:J56">ROUND(E57,1)+ROUND(E58,1)+ROUND(E59,1)+ROUND(E62,1)</f>
        <v>31.4</v>
      </c>
      <c r="F56" s="59">
        <f t="shared" si="15"/>
        <v>28.7</v>
      </c>
      <c r="G56" s="59">
        <f t="shared" si="15"/>
        <v>0</v>
      </c>
      <c r="H56" s="59">
        <f t="shared" si="15"/>
        <v>30.1</v>
      </c>
      <c r="I56" s="106" t="s">
        <v>104</v>
      </c>
      <c r="J56" s="59">
        <f t="shared" si="15"/>
        <v>30.1</v>
      </c>
      <c r="K56" s="106" t="s">
        <v>104</v>
      </c>
      <c r="L56" s="55">
        <f t="shared" si="1"/>
        <v>1.048780487804878</v>
      </c>
      <c r="M56" s="59">
        <f t="shared" si="13"/>
        <v>30.961160999999997</v>
      </c>
      <c r="N56" s="59">
        <f t="shared" si="14"/>
        <v>31.8776113656</v>
      </c>
      <c r="O56" s="59">
        <f t="shared" si="11"/>
        <v>32.82118866202176</v>
      </c>
      <c r="P56" s="59">
        <f t="shared" si="9"/>
        <v>33.79269584641761</v>
      </c>
    </row>
    <row r="57" spans="1:16" s="61" customFormat="1" ht="114.75" customHeight="1">
      <c r="A57" s="75" t="s">
        <v>85</v>
      </c>
      <c r="B57" s="111" t="s">
        <v>174</v>
      </c>
      <c r="C57" s="75" t="s">
        <v>5</v>
      </c>
      <c r="D57" s="80">
        <v>28.1</v>
      </c>
      <c r="E57" s="80">
        <v>31.4</v>
      </c>
      <c r="F57" s="80">
        <v>28.7</v>
      </c>
      <c r="G57" s="80"/>
      <c r="H57" s="80">
        <v>30.1</v>
      </c>
      <c r="I57" s="68" t="s">
        <v>254</v>
      </c>
      <c r="J57" s="80">
        <v>30.1</v>
      </c>
      <c r="K57" s="68" t="s">
        <v>240</v>
      </c>
      <c r="L57" s="55">
        <f>IF(AND(F57&gt;0,J57&gt;0),J57/F57,"-")</f>
        <v>1.048780487804878</v>
      </c>
      <c r="M57" s="109">
        <f t="shared" si="13"/>
        <v>30.961160999999997</v>
      </c>
      <c r="N57" s="109">
        <f t="shared" si="14"/>
        <v>31.8776113656</v>
      </c>
      <c r="O57" s="109">
        <f t="shared" si="11"/>
        <v>32.82118866202176</v>
      </c>
      <c r="P57" s="109">
        <f t="shared" si="9"/>
        <v>33.79269584641761</v>
      </c>
    </row>
    <row r="58" spans="1:16" s="61" customFormat="1" ht="47.25" customHeight="1">
      <c r="A58" s="75" t="s">
        <v>86</v>
      </c>
      <c r="B58" s="111" t="s">
        <v>175</v>
      </c>
      <c r="C58" s="75" t="s">
        <v>5</v>
      </c>
      <c r="D58" s="80"/>
      <c r="E58" s="80"/>
      <c r="F58" s="80"/>
      <c r="G58" s="80"/>
      <c r="H58" s="80"/>
      <c r="I58" s="68"/>
      <c r="J58" s="80"/>
      <c r="K58" s="68"/>
      <c r="L58" s="55" t="str">
        <f t="shared" si="1"/>
        <v>-</v>
      </c>
      <c r="M58" s="109">
        <f t="shared" si="13"/>
        <v>0</v>
      </c>
      <c r="N58" s="109">
        <f t="shared" si="14"/>
        <v>0</v>
      </c>
      <c r="O58" s="109">
        <f t="shared" si="11"/>
        <v>0</v>
      </c>
      <c r="P58" s="109">
        <f t="shared" si="9"/>
        <v>0</v>
      </c>
    </row>
    <row r="59" spans="1:16" s="61" customFormat="1" ht="32.25" customHeight="1">
      <c r="A59" s="75" t="s">
        <v>87</v>
      </c>
      <c r="B59" s="111" t="s">
        <v>83</v>
      </c>
      <c r="C59" s="75" t="s">
        <v>5</v>
      </c>
      <c r="D59" s="80"/>
      <c r="E59" s="80"/>
      <c r="F59" s="80"/>
      <c r="G59" s="80"/>
      <c r="H59" s="80"/>
      <c r="I59" s="68"/>
      <c r="J59" s="80"/>
      <c r="K59" s="68"/>
      <c r="L59" s="55" t="str">
        <f t="shared" si="1"/>
        <v>-</v>
      </c>
      <c r="M59" s="109">
        <f t="shared" si="13"/>
        <v>0</v>
      </c>
      <c r="N59" s="109">
        <f t="shared" si="14"/>
        <v>0</v>
      </c>
      <c r="O59" s="109">
        <f t="shared" si="11"/>
        <v>0</v>
      </c>
      <c r="P59" s="109">
        <f t="shared" si="9"/>
        <v>0</v>
      </c>
    </row>
    <row r="60" spans="1:16" s="61" customFormat="1" ht="33.75" customHeight="1">
      <c r="A60" s="75"/>
      <c r="B60" s="100" t="s">
        <v>89</v>
      </c>
      <c r="C60" s="47" t="s">
        <v>47</v>
      </c>
      <c r="D60" s="80"/>
      <c r="E60" s="80"/>
      <c r="F60" s="80"/>
      <c r="G60" s="80"/>
      <c r="H60" s="80"/>
      <c r="I60" s="68"/>
      <c r="J60" s="80"/>
      <c r="K60" s="68"/>
      <c r="L60" s="55" t="str">
        <f t="shared" si="1"/>
        <v>-</v>
      </c>
      <c r="M60" s="109">
        <f t="shared" si="13"/>
        <v>0</v>
      </c>
      <c r="N60" s="109">
        <f t="shared" si="14"/>
        <v>0</v>
      </c>
      <c r="O60" s="109">
        <f t="shared" si="11"/>
        <v>0</v>
      </c>
      <c r="P60" s="109">
        <f t="shared" si="9"/>
        <v>0</v>
      </c>
    </row>
    <row r="61" spans="1:16" s="61" customFormat="1" ht="39.75" customHeight="1">
      <c r="A61" s="75"/>
      <c r="B61" s="100" t="s">
        <v>90</v>
      </c>
      <c r="C61" s="75" t="s">
        <v>48</v>
      </c>
      <c r="D61" s="80"/>
      <c r="E61" s="80"/>
      <c r="F61" s="80"/>
      <c r="G61" s="80"/>
      <c r="H61" s="80"/>
      <c r="I61" s="68"/>
      <c r="J61" s="80"/>
      <c r="K61" s="68"/>
      <c r="L61" s="55" t="str">
        <f t="shared" si="1"/>
        <v>-</v>
      </c>
      <c r="M61" s="109"/>
      <c r="N61" s="109"/>
      <c r="O61" s="109"/>
      <c r="P61" s="109"/>
    </row>
    <row r="62" spans="1:16" s="61" customFormat="1" ht="31.5">
      <c r="A62" s="90" t="s">
        <v>88</v>
      </c>
      <c r="B62" s="93" t="s">
        <v>84</v>
      </c>
      <c r="C62" s="58" t="s">
        <v>5</v>
      </c>
      <c r="D62" s="59">
        <f>D59*$D$38</f>
        <v>0</v>
      </c>
      <c r="E62" s="59">
        <f>E59*$E$38</f>
        <v>0</v>
      </c>
      <c r="F62" s="59">
        <f>F59*$F$38</f>
        <v>0</v>
      </c>
      <c r="G62" s="80"/>
      <c r="H62" s="59">
        <f>H59*$H$38</f>
        <v>0</v>
      </c>
      <c r="I62" s="68"/>
      <c r="J62" s="59">
        <f>J59*$J$38</f>
        <v>0</v>
      </c>
      <c r="K62" s="68"/>
      <c r="L62" s="55" t="str">
        <f t="shared" si="1"/>
        <v>-</v>
      </c>
      <c r="M62" s="59">
        <f aca="true" t="shared" si="16" ref="M62:M81">J62*$M$36*(1-$M$35)*($M$15/$J$15)</f>
        <v>0</v>
      </c>
      <c r="N62" s="59">
        <f aca="true" t="shared" si="17" ref="N62:N81">M62*$N$36*(1-$N$35)*($N$15/$M$15)</f>
        <v>0</v>
      </c>
      <c r="O62" s="59">
        <f t="shared" si="11"/>
        <v>0</v>
      </c>
      <c r="P62" s="59">
        <f t="shared" si="9"/>
        <v>0</v>
      </c>
    </row>
    <row r="63" spans="1:16" s="61" customFormat="1" ht="15" customHeight="1">
      <c r="A63" s="90" t="s">
        <v>71</v>
      </c>
      <c r="B63" s="93" t="s">
        <v>150</v>
      </c>
      <c r="C63" s="58" t="s">
        <v>5</v>
      </c>
      <c r="D63" s="59">
        <f>ROUND(D64,1)+ROUND(D67,1)+ROUND(D68,1)+ROUND(D76,1)+ROUND(D77,1)+ROUND(D78,1)+ROUND(D79,1)+ROUND(D80,1)+ROUND(D81,1)</f>
        <v>23.5</v>
      </c>
      <c r="E63" s="59">
        <f aca="true" t="shared" si="18" ref="E63:J63">ROUND(E64,1)+ROUND(E67,1)+ROUND(E68,1)+ROUND(E76,1)+ROUND(E77,1)+ROUND(E78,1)+ROUND(E79,1)+ROUND(E80,1)+ROUND(E81,1)</f>
        <v>20.9</v>
      </c>
      <c r="F63" s="59">
        <f t="shared" si="18"/>
        <v>23.9</v>
      </c>
      <c r="G63" s="59">
        <f t="shared" si="18"/>
        <v>0</v>
      </c>
      <c r="H63" s="59">
        <f t="shared" si="18"/>
        <v>2.8</v>
      </c>
      <c r="I63" s="106" t="s">
        <v>104</v>
      </c>
      <c r="J63" s="59">
        <f t="shared" si="18"/>
        <v>2.8</v>
      </c>
      <c r="K63" s="106" t="s">
        <v>104</v>
      </c>
      <c r="L63" s="55">
        <f t="shared" si="1"/>
        <v>0.11715481171548117</v>
      </c>
      <c r="M63" s="59">
        <f t="shared" si="16"/>
        <v>2.880108</v>
      </c>
      <c r="N63" s="59">
        <f t="shared" si="17"/>
        <v>2.9653591968</v>
      </c>
      <c r="O63" s="59">
        <f t="shared" si="11"/>
        <v>3.0531338290252803</v>
      </c>
      <c r="P63" s="59">
        <f t="shared" si="9"/>
        <v>3.1435065903644284</v>
      </c>
    </row>
    <row r="64" spans="1:16" s="61" customFormat="1" ht="31.5">
      <c r="A64" s="75" t="s">
        <v>91</v>
      </c>
      <c r="B64" s="111" t="s">
        <v>49</v>
      </c>
      <c r="C64" s="75" t="s">
        <v>5</v>
      </c>
      <c r="D64" s="116"/>
      <c r="E64" s="116"/>
      <c r="F64" s="80"/>
      <c r="G64" s="80"/>
      <c r="H64" s="80"/>
      <c r="I64" s="68"/>
      <c r="J64" s="80"/>
      <c r="K64" s="68"/>
      <c r="L64" s="55" t="str">
        <f t="shared" si="1"/>
        <v>-</v>
      </c>
      <c r="M64" s="109">
        <f t="shared" si="16"/>
        <v>0</v>
      </c>
      <c r="N64" s="109">
        <f t="shared" si="17"/>
        <v>0</v>
      </c>
      <c r="O64" s="109">
        <f t="shared" si="11"/>
        <v>0</v>
      </c>
      <c r="P64" s="109">
        <f t="shared" si="9"/>
        <v>0</v>
      </c>
    </row>
    <row r="65" spans="1:16" s="61" customFormat="1" ht="31.5">
      <c r="A65" s="75"/>
      <c r="B65" s="100" t="s">
        <v>50</v>
      </c>
      <c r="C65" s="47" t="s">
        <v>47</v>
      </c>
      <c r="D65" s="116"/>
      <c r="E65" s="116"/>
      <c r="F65" s="80"/>
      <c r="G65" s="80"/>
      <c r="H65" s="80"/>
      <c r="I65" s="68"/>
      <c r="J65" s="80"/>
      <c r="K65" s="68"/>
      <c r="L65" s="55" t="str">
        <f t="shared" si="1"/>
        <v>-</v>
      </c>
      <c r="M65" s="109">
        <f t="shared" si="16"/>
        <v>0</v>
      </c>
      <c r="N65" s="109">
        <f t="shared" si="17"/>
        <v>0</v>
      </c>
      <c r="O65" s="109">
        <f t="shared" si="11"/>
        <v>0</v>
      </c>
      <c r="P65" s="109">
        <f t="shared" si="9"/>
        <v>0</v>
      </c>
    </row>
    <row r="66" spans="1:16" s="61" customFormat="1" ht="45.75" customHeight="1">
      <c r="A66" s="75"/>
      <c r="B66" s="100" t="s">
        <v>51</v>
      </c>
      <c r="C66" s="75" t="s">
        <v>48</v>
      </c>
      <c r="D66" s="116"/>
      <c r="E66" s="116"/>
      <c r="F66" s="80"/>
      <c r="G66" s="80"/>
      <c r="H66" s="80"/>
      <c r="I66" s="68"/>
      <c r="J66" s="80"/>
      <c r="K66" s="68"/>
      <c r="L66" s="55" t="str">
        <f t="shared" si="1"/>
        <v>-</v>
      </c>
      <c r="M66" s="109"/>
      <c r="N66" s="109"/>
      <c r="O66" s="109"/>
      <c r="P66" s="109"/>
    </row>
    <row r="67" spans="1:16" s="61" customFormat="1" ht="31.5">
      <c r="A67" s="90" t="s">
        <v>92</v>
      </c>
      <c r="B67" s="107" t="s">
        <v>52</v>
      </c>
      <c r="C67" s="90" t="s">
        <v>5</v>
      </c>
      <c r="D67" s="59">
        <f>D64*$D$38</f>
        <v>0</v>
      </c>
      <c r="E67" s="59">
        <f>E64*$E$38</f>
        <v>0</v>
      </c>
      <c r="F67" s="59">
        <f>F64*$F$38</f>
        <v>0</v>
      </c>
      <c r="G67" s="117"/>
      <c r="H67" s="59">
        <f>H64*$H$38</f>
        <v>0</v>
      </c>
      <c r="I67" s="68"/>
      <c r="J67" s="59">
        <f>J64*$J$38</f>
        <v>0</v>
      </c>
      <c r="K67" s="68"/>
      <c r="L67" s="55" t="str">
        <f t="shared" si="1"/>
        <v>-</v>
      </c>
      <c r="M67" s="59">
        <f t="shared" si="16"/>
        <v>0</v>
      </c>
      <c r="N67" s="59">
        <f t="shared" si="17"/>
        <v>0</v>
      </c>
      <c r="O67" s="59">
        <f t="shared" si="11"/>
        <v>0</v>
      </c>
      <c r="P67" s="59">
        <f t="shared" si="9"/>
        <v>0</v>
      </c>
    </row>
    <row r="68" spans="1:16" s="61" customFormat="1" ht="63">
      <c r="A68" s="90" t="s">
        <v>93</v>
      </c>
      <c r="B68" s="107" t="s">
        <v>177</v>
      </c>
      <c r="C68" s="90" t="s">
        <v>5</v>
      </c>
      <c r="D68" s="59">
        <f>SUM(D69:D75)</f>
        <v>17.4</v>
      </c>
      <c r="E68" s="59">
        <f aca="true" t="shared" si="19" ref="E68:J68">SUM(E69:E75)</f>
        <v>4.1</v>
      </c>
      <c r="F68" s="59">
        <f t="shared" si="19"/>
        <v>17.7</v>
      </c>
      <c r="G68" s="59">
        <f t="shared" si="19"/>
        <v>0</v>
      </c>
      <c r="H68" s="59">
        <f t="shared" si="19"/>
        <v>1.18</v>
      </c>
      <c r="I68" s="106" t="s">
        <v>104</v>
      </c>
      <c r="J68" s="59">
        <f t="shared" si="19"/>
        <v>1.2</v>
      </c>
      <c r="K68" s="106" t="s">
        <v>104</v>
      </c>
      <c r="L68" s="55">
        <f t="shared" si="1"/>
        <v>0.06779661016949153</v>
      </c>
      <c r="M68" s="59">
        <f t="shared" si="16"/>
        <v>1.234332</v>
      </c>
      <c r="N68" s="59">
        <f t="shared" si="17"/>
        <v>1.2708682272</v>
      </c>
      <c r="O68" s="59">
        <f t="shared" si="11"/>
        <v>1.30848592672512</v>
      </c>
      <c r="P68" s="59">
        <f t="shared" si="9"/>
        <v>1.3472171101561838</v>
      </c>
    </row>
    <row r="69" spans="1:16" s="61" customFormat="1" ht="94.5">
      <c r="A69" s="75"/>
      <c r="B69" s="112" t="s">
        <v>21</v>
      </c>
      <c r="C69" s="75" t="s">
        <v>5</v>
      </c>
      <c r="D69" s="80">
        <v>1.9</v>
      </c>
      <c r="E69" s="80">
        <v>1.2</v>
      </c>
      <c r="F69" s="80">
        <v>1.9</v>
      </c>
      <c r="G69" s="80"/>
      <c r="H69" s="80">
        <v>1.18</v>
      </c>
      <c r="I69" s="68" t="s">
        <v>256</v>
      </c>
      <c r="J69" s="80">
        <v>1.2</v>
      </c>
      <c r="K69" s="68" t="s">
        <v>240</v>
      </c>
      <c r="L69" s="55">
        <f t="shared" si="1"/>
        <v>0.631578947368421</v>
      </c>
      <c r="M69" s="109">
        <f t="shared" si="16"/>
        <v>1.234332</v>
      </c>
      <c r="N69" s="109">
        <f t="shared" si="17"/>
        <v>1.2708682272</v>
      </c>
      <c r="O69" s="109">
        <f t="shared" si="11"/>
        <v>1.30848592672512</v>
      </c>
      <c r="P69" s="109">
        <f t="shared" si="9"/>
        <v>1.3472171101561838</v>
      </c>
    </row>
    <row r="70" spans="1:16" s="61" customFormat="1" ht="15.75">
      <c r="A70" s="75"/>
      <c r="B70" s="112" t="s">
        <v>22</v>
      </c>
      <c r="C70" s="75" t="s">
        <v>5</v>
      </c>
      <c r="D70" s="80">
        <v>15.5</v>
      </c>
      <c r="E70" s="80">
        <v>2.9</v>
      </c>
      <c r="F70" s="80">
        <v>15.8</v>
      </c>
      <c r="G70" s="80"/>
      <c r="H70" s="80">
        <v>0</v>
      </c>
      <c r="I70" s="68"/>
      <c r="J70" s="80">
        <v>0</v>
      </c>
      <c r="K70" s="68"/>
      <c r="L70" s="55" t="str">
        <f t="shared" si="1"/>
        <v>-</v>
      </c>
      <c r="M70" s="109">
        <f t="shared" si="16"/>
        <v>0</v>
      </c>
      <c r="N70" s="109">
        <f t="shared" si="17"/>
        <v>0</v>
      </c>
      <c r="O70" s="109">
        <f t="shared" si="11"/>
        <v>0</v>
      </c>
      <c r="P70" s="109">
        <f t="shared" si="9"/>
        <v>0</v>
      </c>
    </row>
    <row r="71" spans="1:16" s="61" customFormat="1" ht="15.75">
      <c r="A71" s="75"/>
      <c r="B71" s="112" t="s">
        <v>23</v>
      </c>
      <c r="C71" s="75" t="s">
        <v>5</v>
      </c>
      <c r="D71" s="80"/>
      <c r="E71" s="80"/>
      <c r="F71" s="80"/>
      <c r="G71" s="80"/>
      <c r="H71" s="80"/>
      <c r="I71" s="68"/>
      <c r="J71" s="80"/>
      <c r="K71" s="68"/>
      <c r="L71" s="55" t="str">
        <f t="shared" si="1"/>
        <v>-</v>
      </c>
      <c r="M71" s="109">
        <f t="shared" si="16"/>
        <v>0</v>
      </c>
      <c r="N71" s="109">
        <f t="shared" si="17"/>
        <v>0</v>
      </c>
      <c r="O71" s="109">
        <f t="shared" si="11"/>
        <v>0</v>
      </c>
      <c r="P71" s="109">
        <f t="shared" si="9"/>
        <v>0</v>
      </c>
    </row>
    <row r="72" spans="1:16" s="61" customFormat="1" ht="15.75">
      <c r="A72" s="75"/>
      <c r="B72" s="112" t="s">
        <v>24</v>
      </c>
      <c r="C72" s="75" t="s">
        <v>5</v>
      </c>
      <c r="D72" s="80"/>
      <c r="E72" s="80"/>
      <c r="F72" s="80"/>
      <c r="G72" s="80"/>
      <c r="H72" s="80"/>
      <c r="I72" s="68"/>
      <c r="J72" s="80"/>
      <c r="K72" s="68"/>
      <c r="L72" s="55" t="str">
        <f t="shared" si="1"/>
        <v>-</v>
      </c>
      <c r="M72" s="109">
        <f t="shared" si="16"/>
        <v>0</v>
      </c>
      <c r="N72" s="109">
        <f t="shared" si="17"/>
        <v>0</v>
      </c>
      <c r="O72" s="109">
        <f t="shared" si="11"/>
        <v>0</v>
      </c>
      <c r="P72" s="109">
        <f t="shared" si="9"/>
        <v>0</v>
      </c>
    </row>
    <row r="73" spans="1:16" s="61" customFormat="1" ht="15.75">
      <c r="A73" s="75"/>
      <c r="B73" s="112" t="s">
        <v>178</v>
      </c>
      <c r="C73" s="75" t="s">
        <v>5</v>
      </c>
      <c r="D73" s="80"/>
      <c r="E73" s="80"/>
      <c r="F73" s="80"/>
      <c r="G73" s="80"/>
      <c r="H73" s="80"/>
      <c r="I73" s="68"/>
      <c r="J73" s="80"/>
      <c r="K73" s="68"/>
      <c r="L73" s="55" t="str">
        <f t="shared" si="1"/>
        <v>-</v>
      </c>
      <c r="M73" s="109">
        <f t="shared" si="16"/>
        <v>0</v>
      </c>
      <c r="N73" s="109">
        <f t="shared" si="17"/>
        <v>0</v>
      </c>
      <c r="O73" s="109">
        <f t="shared" si="11"/>
        <v>0</v>
      </c>
      <c r="P73" s="109">
        <f t="shared" si="9"/>
        <v>0</v>
      </c>
    </row>
    <row r="74" spans="1:16" s="61" customFormat="1" ht="15.75">
      <c r="A74" s="75"/>
      <c r="B74" s="112" t="s">
        <v>25</v>
      </c>
      <c r="C74" s="75" t="s">
        <v>5</v>
      </c>
      <c r="D74" s="80"/>
      <c r="E74" s="80"/>
      <c r="F74" s="80"/>
      <c r="G74" s="80"/>
      <c r="H74" s="80"/>
      <c r="I74" s="68"/>
      <c r="J74" s="80"/>
      <c r="K74" s="68"/>
      <c r="L74" s="55" t="str">
        <f t="shared" si="1"/>
        <v>-</v>
      </c>
      <c r="M74" s="109">
        <f t="shared" si="16"/>
        <v>0</v>
      </c>
      <c r="N74" s="109">
        <f t="shared" si="17"/>
        <v>0</v>
      </c>
      <c r="O74" s="109">
        <f t="shared" si="11"/>
        <v>0</v>
      </c>
      <c r="P74" s="109">
        <f t="shared" si="9"/>
        <v>0</v>
      </c>
    </row>
    <row r="75" spans="1:16" s="61" customFormat="1" ht="15.75">
      <c r="A75" s="75"/>
      <c r="B75" s="112" t="s">
        <v>179</v>
      </c>
      <c r="C75" s="75" t="s">
        <v>5</v>
      </c>
      <c r="D75" s="80"/>
      <c r="E75" s="80"/>
      <c r="F75" s="80"/>
      <c r="G75" s="80"/>
      <c r="H75" s="80"/>
      <c r="I75" s="68"/>
      <c r="J75" s="80"/>
      <c r="K75" s="68"/>
      <c r="L75" s="55" t="str">
        <f t="shared" si="1"/>
        <v>-</v>
      </c>
      <c r="M75" s="109">
        <f t="shared" si="16"/>
        <v>0</v>
      </c>
      <c r="N75" s="109">
        <f t="shared" si="17"/>
        <v>0</v>
      </c>
      <c r="O75" s="109">
        <f t="shared" si="11"/>
        <v>0</v>
      </c>
      <c r="P75" s="109">
        <f t="shared" si="9"/>
        <v>0</v>
      </c>
    </row>
    <row r="76" spans="1:16" s="61" customFormat="1" ht="63">
      <c r="A76" s="75" t="s">
        <v>180</v>
      </c>
      <c r="B76" s="118" t="s">
        <v>194</v>
      </c>
      <c r="C76" s="75" t="s">
        <v>5</v>
      </c>
      <c r="D76" s="80"/>
      <c r="E76" s="80"/>
      <c r="F76" s="80"/>
      <c r="G76" s="80"/>
      <c r="H76" s="80"/>
      <c r="I76" s="68"/>
      <c r="J76" s="80"/>
      <c r="K76" s="68"/>
      <c r="L76" s="55" t="str">
        <f t="shared" si="1"/>
        <v>-</v>
      </c>
      <c r="M76" s="109">
        <f t="shared" si="16"/>
        <v>0</v>
      </c>
      <c r="N76" s="109">
        <f t="shared" si="17"/>
        <v>0</v>
      </c>
      <c r="O76" s="109">
        <f t="shared" si="11"/>
        <v>0</v>
      </c>
      <c r="P76" s="109">
        <f t="shared" si="9"/>
        <v>0</v>
      </c>
    </row>
    <row r="77" spans="1:16" s="61" customFormat="1" ht="15.75">
      <c r="A77" s="75" t="s">
        <v>181</v>
      </c>
      <c r="B77" s="111" t="s">
        <v>26</v>
      </c>
      <c r="C77" s="75" t="s">
        <v>5</v>
      </c>
      <c r="D77" s="80"/>
      <c r="E77" s="80"/>
      <c r="F77" s="80"/>
      <c r="G77" s="80"/>
      <c r="H77" s="80"/>
      <c r="I77" s="68"/>
      <c r="J77" s="80"/>
      <c r="K77" s="68"/>
      <c r="L77" s="55" t="str">
        <f t="shared" si="1"/>
        <v>-</v>
      </c>
      <c r="M77" s="109">
        <f t="shared" si="16"/>
        <v>0</v>
      </c>
      <c r="N77" s="109">
        <f t="shared" si="17"/>
        <v>0</v>
      </c>
      <c r="O77" s="109">
        <f t="shared" si="11"/>
        <v>0</v>
      </c>
      <c r="P77" s="109">
        <f t="shared" si="9"/>
        <v>0</v>
      </c>
    </row>
    <row r="78" spans="1:16" s="61" customFormat="1" ht="94.5">
      <c r="A78" s="75" t="s">
        <v>182</v>
      </c>
      <c r="B78" s="111" t="s">
        <v>27</v>
      </c>
      <c r="C78" s="75" t="s">
        <v>5</v>
      </c>
      <c r="D78" s="80">
        <v>6.1</v>
      </c>
      <c r="E78" s="116">
        <v>16.8</v>
      </c>
      <c r="F78" s="80">
        <v>6.2</v>
      </c>
      <c r="G78" s="80"/>
      <c r="H78" s="80">
        <v>1.64</v>
      </c>
      <c r="I78" s="68" t="s">
        <v>257</v>
      </c>
      <c r="J78" s="80">
        <v>1.6</v>
      </c>
      <c r="K78" s="68" t="s">
        <v>240</v>
      </c>
      <c r="L78" s="55">
        <f t="shared" si="1"/>
        <v>0.25806451612903225</v>
      </c>
      <c r="M78" s="109">
        <f t="shared" si="16"/>
        <v>1.645776</v>
      </c>
      <c r="N78" s="109">
        <f t="shared" si="17"/>
        <v>1.6944909696</v>
      </c>
      <c r="O78" s="109">
        <f t="shared" si="11"/>
        <v>1.7446479023001598</v>
      </c>
      <c r="P78" s="109">
        <f t="shared" si="9"/>
        <v>1.7962894802082445</v>
      </c>
    </row>
    <row r="79" spans="1:16" s="61" customFormat="1" ht="126">
      <c r="A79" s="75" t="s">
        <v>183</v>
      </c>
      <c r="B79" s="111" t="s">
        <v>208</v>
      </c>
      <c r="C79" s="75" t="s">
        <v>5</v>
      </c>
      <c r="D79" s="80"/>
      <c r="E79" s="80"/>
      <c r="F79" s="80"/>
      <c r="G79" s="80"/>
      <c r="H79" s="80"/>
      <c r="I79" s="68"/>
      <c r="J79" s="80"/>
      <c r="K79" s="68"/>
      <c r="L79" s="55" t="str">
        <f t="shared" si="1"/>
        <v>-</v>
      </c>
      <c r="M79" s="109">
        <f t="shared" si="16"/>
        <v>0</v>
      </c>
      <c r="N79" s="109">
        <f t="shared" si="17"/>
        <v>0</v>
      </c>
      <c r="O79" s="109">
        <f t="shared" si="11"/>
        <v>0</v>
      </c>
      <c r="P79" s="109">
        <f t="shared" si="9"/>
        <v>0</v>
      </c>
    </row>
    <row r="80" spans="1:16" s="61" customFormat="1" ht="31.5">
      <c r="A80" s="75" t="s">
        <v>184</v>
      </c>
      <c r="B80" s="111" t="s">
        <v>176</v>
      </c>
      <c r="C80" s="75" t="s">
        <v>5</v>
      </c>
      <c r="D80" s="80"/>
      <c r="E80" s="80"/>
      <c r="F80" s="80"/>
      <c r="G80" s="80"/>
      <c r="H80" s="80"/>
      <c r="I80" s="68"/>
      <c r="J80" s="80"/>
      <c r="K80" s="68"/>
      <c r="L80" s="55" t="str">
        <f aca="true" t="shared" si="20" ref="L80:L143">IF(AND(F80&gt;0,J80&gt;0),J80/F80,"-")</f>
        <v>-</v>
      </c>
      <c r="M80" s="109">
        <f t="shared" si="16"/>
        <v>0</v>
      </c>
      <c r="N80" s="109">
        <f t="shared" si="17"/>
        <v>0</v>
      </c>
      <c r="O80" s="109">
        <f t="shared" si="11"/>
        <v>0</v>
      </c>
      <c r="P80" s="109">
        <f t="shared" si="9"/>
        <v>0</v>
      </c>
    </row>
    <row r="81" spans="1:16" s="61" customFormat="1" ht="15.75">
      <c r="A81" s="75" t="s">
        <v>185</v>
      </c>
      <c r="B81" s="111" t="s">
        <v>149</v>
      </c>
      <c r="C81" s="75" t="s">
        <v>5</v>
      </c>
      <c r="D81" s="80"/>
      <c r="E81" s="80"/>
      <c r="F81" s="80"/>
      <c r="G81" s="80"/>
      <c r="H81" s="80"/>
      <c r="I81" s="68"/>
      <c r="J81" s="80"/>
      <c r="K81" s="68"/>
      <c r="L81" s="55" t="str">
        <f t="shared" si="20"/>
        <v>-</v>
      </c>
      <c r="M81" s="109">
        <f t="shared" si="16"/>
        <v>0</v>
      </c>
      <c r="N81" s="109">
        <f t="shared" si="17"/>
        <v>0</v>
      </c>
      <c r="O81" s="109">
        <f t="shared" si="11"/>
        <v>0</v>
      </c>
      <c r="P81" s="109">
        <f t="shared" si="9"/>
        <v>0</v>
      </c>
    </row>
    <row r="82" spans="1:16" s="61" customFormat="1" ht="15" customHeight="1">
      <c r="A82" s="90" t="s">
        <v>67</v>
      </c>
      <c r="B82" s="93" t="s">
        <v>15</v>
      </c>
      <c r="C82" s="58" t="s">
        <v>5</v>
      </c>
      <c r="D82" s="59">
        <f>ROUND(D83,1)+ROUND(D84,1)+ROUND(D92,1)+ROUND(D93,1)+ROUND(D94,1)+ROUND(D96,1)+ROUND(D95,1)</f>
        <v>960.1</v>
      </c>
      <c r="E82" s="59">
        <f>ROUND(E83,1)+ROUND(E84,1)+ROUND(E92,1)+ROUND(E93,1)+ROUND(E94,1)+ROUND(E96,1)+ROUND(E95,1)</f>
        <v>1428.6</v>
      </c>
      <c r="F82" s="59">
        <f>ROUND(F83,1)+ROUND(F84,1)+ROUND(F92,1)+ROUND(F93,1)+ROUND(F94,1)+ROUND(F96,1)+ROUND(F95,1)</f>
        <v>1292.3</v>
      </c>
      <c r="G82" s="59">
        <f>ROUND(G83,1)+ROUND(G84,1)+ROUND(G92,1)+ROUND(G93,1)+ROUND(G94,1)+ROUND(G96,1)+ROUND(G95,1)</f>
        <v>0</v>
      </c>
      <c r="H82" s="59">
        <f>ROUND(H83,1)+ROUND(H84,1)+ROUND(H92,1)+ROUND(H93,1)+ROUND(H94,1)+ROUND(H96,1)+ROUND(H95,1)</f>
        <v>1047.2</v>
      </c>
      <c r="I82" s="106" t="s">
        <v>104</v>
      </c>
      <c r="J82" s="59">
        <f>ROUND(J83,1)+ROUND(J84,1)+ROUND(J92,1)+ROUND(J93,1)+ROUND(J94,1)+ROUND(J96,1)+ROUND(J95,1)</f>
        <v>1047.2</v>
      </c>
      <c r="K82" s="106" t="s">
        <v>104</v>
      </c>
      <c r="L82" s="55">
        <f t="shared" si="20"/>
        <v>0.8103381567747427</v>
      </c>
      <c r="M82" s="59">
        <f>ROUND(M83,1)+ROUND(M84,1)+ROUND(M92,1)+ROUND(M93,1)+ROUND(M94,1)+ROUND(M96,1)+ROUND(M95,1)</f>
        <v>1050.6</v>
      </c>
      <c r="N82" s="59">
        <f>ROUND(N83,1)+ROUND(N84,1)+ROUND(N92,1)+ROUND(N93,1)+ROUND(N94,1)+ROUND(N96,1)+ROUND(N95,1)</f>
        <v>1054.1</v>
      </c>
      <c r="O82" s="59">
        <f>ROUND(O83,1)+ROUND(O84,1)+ROUND(O92,1)+ROUND(O93,1)+ROUND(O94,1)+ROUND(O96,1)+ROUND(O95,1)</f>
        <v>877</v>
      </c>
      <c r="P82" s="59">
        <f>ROUND(P83,1)+ROUND(P84,1)+ROUND(P92,1)+ROUND(P93,1)+ROUND(P94,1)+ROUND(P96,1)+ROUND(P95,1)</f>
        <v>880.7</v>
      </c>
    </row>
    <row r="83" spans="1:16" s="61" customFormat="1" ht="43.5" customHeight="1">
      <c r="A83" s="75" t="s">
        <v>95</v>
      </c>
      <c r="B83" s="79" t="s">
        <v>198</v>
      </c>
      <c r="C83" s="75" t="s">
        <v>5</v>
      </c>
      <c r="D83" s="80"/>
      <c r="E83" s="80"/>
      <c r="F83" s="80"/>
      <c r="G83" s="80"/>
      <c r="H83" s="80"/>
      <c r="I83" s="68"/>
      <c r="J83" s="80"/>
      <c r="K83" s="68"/>
      <c r="L83" s="55" t="str">
        <f t="shared" si="20"/>
        <v>-</v>
      </c>
      <c r="M83" s="80"/>
      <c r="N83" s="80"/>
      <c r="O83" s="80"/>
      <c r="P83" s="80"/>
    </row>
    <row r="84" spans="1:16" s="61" customFormat="1" ht="30.75" customHeight="1">
      <c r="A84" s="90" t="s">
        <v>96</v>
      </c>
      <c r="B84" s="93" t="s">
        <v>193</v>
      </c>
      <c r="C84" s="58" t="s">
        <v>5</v>
      </c>
      <c r="D84" s="59">
        <f>ROUND(D85,1)+ROUND(D86,1)+ROUND(D87,1)+ROUND(D88,1)+ROUND(D89,1)+ROUND(D90,1)+ROUND(D91,1)</f>
        <v>308</v>
      </c>
      <c r="E84" s="59">
        <f aca="true" t="shared" si="21" ref="E84:J84">ROUND(E85,1)+ROUND(E86,1)+ROUND(E87,1)+ROUND(E88,1)+ROUND(E89,1)+ROUND(E90,1)+ROUND(E91,1)</f>
        <v>657</v>
      </c>
      <c r="F84" s="59">
        <f t="shared" si="21"/>
        <v>573.4</v>
      </c>
      <c r="G84" s="59">
        <f t="shared" si="21"/>
        <v>0</v>
      </c>
      <c r="H84" s="59">
        <f t="shared" si="21"/>
        <v>242.79999999999998</v>
      </c>
      <c r="I84" s="106" t="s">
        <v>104</v>
      </c>
      <c r="J84" s="59">
        <f t="shared" si="21"/>
        <v>242.79999999999998</v>
      </c>
      <c r="K84" s="106" t="s">
        <v>104</v>
      </c>
      <c r="L84" s="55">
        <f t="shared" si="20"/>
        <v>0.42343913498430413</v>
      </c>
      <c r="M84" s="59">
        <f>ROUND(M85,1)+ROUND(M86,1)+ROUND(M87,1)+ROUND(M88,1)+ROUND(M89,1)+ROUND(M90,1)+ROUND(M91,1)</f>
        <v>246.20000000000002</v>
      </c>
      <c r="N84" s="59">
        <f>ROUND(N85,1)+ROUND(N86,1)+ROUND(N87,1)+ROUND(N88,1)+ROUND(N89,1)+ROUND(N90,1)+ROUND(N91,1)</f>
        <v>249.70000000000002</v>
      </c>
      <c r="O84" s="59">
        <f>ROUND(O85,1)+ROUND(O86,1)+ROUND(O87,1)+ROUND(O88,1)+ROUND(O89,1)+ROUND(O90,1)+ROUND(O91,1)</f>
        <v>253.29999999999998</v>
      </c>
      <c r="P84" s="59">
        <f>ROUND(P85,1)+ROUND(P86,1)+ROUND(P87,1)+ROUND(P88,1)+ROUND(P89,1)+ROUND(P90,1)+ROUND(P91,1)</f>
        <v>257</v>
      </c>
    </row>
    <row r="85" spans="1:16" s="61" customFormat="1" ht="15" customHeight="1">
      <c r="A85" s="75" t="s">
        <v>116</v>
      </c>
      <c r="B85" s="111" t="s">
        <v>14</v>
      </c>
      <c r="C85" s="75" t="s">
        <v>5</v>
      </c>
      <c r="D85" s="80"/>
      <c r="E85" s="80"/>
      <c r="F85" s="80"/>
      <c r="G85" s="80"/>
      <c r="H85" s="80"/>
      <c r="I85" s="68"/>
      <c r="J85" s="80"/>
      <c r="K85" s="68"/>
      <c r="L85" s="55" t="str">
        <f t="shared" si="20"/>
        <v>-</v>
      </c>
      <c r="M85" s="80"/>
      <c r="N85" s="80"/>
      <c r="O85" s="80"/>
      <c r="P85" s="80"/>
    </row>
    <row r="86" spans="1:16" s="61" customFormat="1" ht="15" customHeight="1">
      <c r="A86" s="75" t="s">
        <v>117</v>
      </c>
      <c r="B86" s="111" t="s">
        <v>13</v>
      </c>
      <c r="C86" s="75" t="s">
        <v>5</v>
      </c>
      <c r="D86" s="80"/>
      <c r="E86" s="80"/>
      <c r="F86" s="80"/>
      <c r="G86" s="80"/>
      <c r="H86" s="80"/>
      <c r="I86" s="68"/>
      <c r="J86" s="80"/>
      <c r="K86" s="68"/>
      <c r="L86" s="55" t="str">
        <f t="shared" si="20"/>
        <v>-</v>
      </c>
      <c r="M86" s="80"/>
      <c r="N86" s="80"/>
      <c r="O86" s="80"/>
      <c r="P86" s="80"/>
    </row>
    <row r="87" spans="1:16" s="61" customFormat="1" ht="114.75" customHeight="1">
      <c r="A87" s="75" t="s">
        <v>118</v>
      </c>
      <c r="B87" s="111" t="s">
        <v>12</v>
      </c>
      <c r="C87" s="75" t="s">
        <v>5</v>
      </c>
      <c r="D87" s="80">
        <v>125.9</v>
      </c>
      <c r="E87" s="80">
        <v>454.5</v>
      </c>
      <c r="F87" s="80">
        <v>445.8</v>
      </c>
      <c r="G87" s="80"/>
      <c r="H87" s="80">
        <v>114.63</v>
      </c>
      <c r="I87" s="68" t="s">
        <v>271</v>
      </c>
      <c r="J87" s="80">
        <v>114.6</v>
      </c>
      <c r="K87" s="68" t="s">
        <v>240</v>
      </c>
      <c r="L87" s="55">
        <f t="shared" si="20"/>
        <v>0.2570659488559892</v>
      </c>
      <c r="M87" s="109">
        <f>J87*$M$36*(1-$M$35)*($M$15/$J$15)</f>
        <v>117.87870599999998</v>
      </c>
      <c r="N87" s="109">
        <f>M87*$N$36*(1-$N$35)*($N$15/$M$15)</f>
        <v>121.36791569759998</v>
      </c>
      <c r="O87" s="109">
        <f>N87*$N$36*(1-$N$35)*($N$15/$M$15)</f>
        <v>124.96040600224894</v>
      </c>
      <c r="P87" s="109">
        <f>O87*$P$36*(1-$P$35)*($P$15/$O$15)</f>
        <v>128.65923401991552</v>
      </c>
    </row>
    <row r="88" spans="1:16" s="61" customFormat="1" ht="99" customHeight="1">
      <c r="A88" s="75" t="s">
        <v>119</v>
      </c>
      <c r="B88" s="111" t="s">
        <v>11</v>
      </c>
      <c r="C88" s="75" t="s">
        <v>5</v>
      </c>
      <c r="D88" s="80">
        <v>5.7</v>
      </c>
      <c r="E88" s="80">
        <v>3.7</v>
      </c>
      <c r="F88" s="80">
        <v>3.6</v>
      </c>
      <c r="G88" s="80"/>
      <c r="H88" s="80">
        <v>3.71</v>
      </c>
      <c r="I88" s="68" t="s">
        <v>258</v>
      </c>
      <c r="J88" s="80">
        <v>3.7</v>
      </c>
      <c r="K88" s="68" t="s">
        <v>240</v>
      </c>
      <c r="L88" s="55">
        <f t="shared" si="20"/>
        <v>1.027777777777778</v>
      </c>
      <c r="M88" s="80">
        <v>3.7</v>
      </c>
      <c r="N88" s="80">
        <v>3.7</v>
      </c>
      <c r="O88" s="80">
        <v>3.7</v>
      </c>
      <c r="P88" s="80">
        <v>3.7</v>
      </c>
    </row>
    <row r="89" spans="1:16" s="61" customFormat="1" ht="100.5" customHeight="1">
      <c r="A89" s="75" t="s">
        <v>120</v>
      </c>
      <c r="B89" s="111" t="s">
        <v>60</v>
      </c>
      <c r="C89" s="75" t="s">
        <v>5</v>
      </c>
      <c r="D89" s="80">
        <v>85.7</v>
      </c>
      <c r="E89" s="80">
        <v>90.9</v>
      </c>
      <c r="F89" s="80">
        <v>91.7</v>
      </c>
      <c r="G89" s="80"/>
      <c r="H89" s="80">
        <v>88.85</v>
      </c>
      <c r="I89" s="68" t="s">
        <v>259</v>
      </c>
      <c r="J89" s="80">
        <v>88.9</v>
      </c>
      <c r="K89" s="68" t="s">
        <v>250</v>
      </c>
      <c r="L89" s="55">
        <f t="shared" si="20"/>
        <v>0.9694656488549619</v>
      </c>
      <c r="M89" s="80">
        <v>89</v>
      </c>
      <c r="N89" s="80">
        <v>89</v>
      </c>
      <c r="O89" s="80">
        <v>89</v>
      </c>
      <c r="P89" s="80">
        <v>89</v>
      </c>
    </row>
    <row r="90" spans="1:16" s="61" customFormat="1" ht="99" customHeight="1">
      <c r="A90" s="75" t="s">
        <v>121</v>
      </c>
      <c r="B90" s="111" t="s">
        <v>273</v>
      </c>
      <c r="C90" s="75" t="s">
        <v>5</v>
      </c>
      <c r="D90" s="80">
        <v>90.7</v>
      </c>
      <c r="E90" s="80">
        <v>35.6</v>
      </c>
      <c r="F90" s="80">
        <v>32.3</v>
      </c>
      <c r="G90" s="80"/>
      <c r="H90" s="80">
        <v>35.61</v>
      </c>
      <c r="I90" s="68" t="s">
        <v>261</v>
      </c>
      <c r="J90" s="116">
        <v>35.61</v>
      </c>
      <c r="K90" s="68" t="s">
        <v>240</v>
      </c>
      <c r="L90" s="55">
        <f t="shared" si="20"/>
        <v>1.1024767801857587</v>
      </c>
      <c r="M90" s="80">
        <v>35.6</v>
      </c>
      <c r="N90" s="80">
        <v>35.6</v>
      </c>
      <c r="O90" s="80">
        <v>35.6</v>
      </c>
      <c r="P90" s="80">
        <v>35.6</v>
      </c>
    </row>
    <row r="91" spans="1:16" s="61" customFormat="1" ht="33" customHeight="1">
      <c r="A91" s="75" t="s">
        <v>191</v>
      </c>
      <c r="B91" s="111" t="s">
        <v>192</v>
      </c>
      <c r="C91" s="75" t="s">
        <v>5</v>
      </c>
      <c r="D91" s="80"/>
      <c r="E91" s="80">
        <v>72.3</v>
      </c>
      <c r="F91" s="80"/>
      <c r="G91" s="80"/>
      <c r="H91" s="80"/>
      <c r="I91" s="68"/>
      <c r="J91" s="80"/>
      <c r="K91" s="68"/>
      <c r="L91" s="55" t="str">
        <f t="shared" si="20"/>
        <v>-</v>
      </c>
      <c r="M91" s="80"/>
      <c r="N91" s="80"/>
      <c r="O91" s="80"/>
      <c r="P91" s="80"/>
    </row>
    <row r="92" spans="1:16" s="61" customFormat="1" ht="61.5" customHeight="1">
      <c r="A92" s="75" t="s">
        <v>97</v>
      </c>
      <c r="B92" s="119" t="s">
        <v>195</v>
      </c>
      <c r="C92" s="75" t="s">
        <v>5</v>
      </c>
      <c r="D92" s="80"/>
      <c r="E92" s="80"/>
      <c r="F92" s="80"/>
      <c r="G92" s="80"/>
      <c r="H92" s="80"/>
      <c r="I92" s="68"/>
      <c r="J92" s="80"/>
      <c r="K92" s="68"/>
      <c r="L92" s="55" t="str">
        <f t="shared" si="20"/>
        <v>-</v>
      </c>
      <c r="M92" s="80"/>
      <c r="N92" s="80"/>
      <c r="O92" s="80"/>
      <c r="P92" s="80"/>
    </row>
    <row r="93" spans="1:16" s="61" customFormat="1" ht="144.75" customHeight="1">
      <c r="A93" s="75" t="s">
        <v>112</v>
      </c>
      <c r="B93" s="79" t="s">
        <v>274</v>
      </c>
      <c r="C93" s="75" t="s">
        <v>5</v>
      </c>
      <c r="D93" s="80"/>
      <c r="E93" s="80"/>
      <c r="F93" s="80"/>
      <c r="G93" s="80"/>
      <c r="H93" s="80">
        <v>38.54</v>
      </c>
      <c r="I93" s="79" t="s">
        <v>260</v>
      </c>
      <c r="J93" s="80">
        <v>38.54</v>
      </c>
      <c r="K93" s="68" t="s">
        <v>240</v>
      </c>
      <c r="L93" s="55" t="str">
        <f t="shared" si="20"/>
        <v>-</v>
      </c>
      <c r="M93" s="80">
        <v>38.5</v>
      </c>
      <c r="N93" s="80">
        <v>38.5</v>
      </c>
      <c r="O93" s="80"/>
      <c r="P93" s="80"/>
    </row>
    <row r="94" spans="1:16" s="61" customFormat="1" ht="196.5" customHeight="1">
      <c r="A94" s="75" t="s">
        <v>113</v>
      </c>
      <c r="B94" s="79" t="s">
        <v>17</v>
      </c>
      <c r="C94" s="75" t="s">
        <v>5</v>
      </c>
      <c r="D94" s="80">
        <v>225.1</v>
      </c>
      <c r="E94" s="80">
        <v>147.9</v>
      </c>
      <c r="F94" s="80">
        <v>145</v>
      </c>
      <c r="G94" s="80"/>
      <c r="H94" s="80">
        <v>142.17</v>
      </c>
      <c r="I94" s="68" t="s">
        <v>263</v>
      </c>
      <c r="J94" s="116">
        <v>142.2</v>
      </c>
      <c r="K94" s="68" t="s">
        <v>264</v>
      </c>
      <c r="L94" s="55">
        <f t="shared" si="20"/>
        <v>0.9806896551724137</v>
      </c>
      <c r="M94" s="80">
        <v>142.2</v>
      </c>
      <c r="N94" s="80">
        <v>142.2</v>
      </c>
      <c r="O94" s="80"/>
      <c r="P94" s="80"/>
    </row>
    <row r="95" spans="1:16" s="61" customFormat="1" ht="44.25" customHeight="1">
      <c r="A95" s="75" t="s">
        <v>114</v>
      </c>
      <c r="B95" s="79" t="s">
        <v>196</v>
      </c>
      <c r="C95" s="75" t="s">
        <v>5</v>
      </c>
      <c r="D95" s="80"/>
      <c r="E95" s="80"/>
      <c r="F95" s="80"/>
      <c r="G95" s="80"/>
      <c r="H95" s="80"/>
      <c r="I95" s="68"/>
      <c r="J95" s="80"/>
      <c r="K95" s="68"/>
      <c r="L95" s="55" t="str">
        <f t="shared" si="20"/>
        <v>-</v>
      </c>
      <c r="M95" s="80"/>
      <c r="N95" s="80"/>
      <c r="O95" s="80"/>
      <c r="P95" s="80"/>
    </row>
    <row r="96" spans="1:16" s="61" customFormat="1" ht="130.5" customHeight="1">
      <c r="A96" s="75" t="s">
        <v>115</v>
      </c>
      <c r="B96" s="79" t="s">
        <v>197</v>
      </c>
      <c r="C96" s="75" t="s">
        <v>5</v>
      </c>
      <c r="D96" s="80">
        <v>427</v>
      </c>
      <c r="E96" s="80">
        <v>623.7</v>
      </c>
      <c r="F96" s="80">
        <v>573.9</v>
      </c>
      <c r="G96" s="80"/>
      <c r="H96" s="80">
        <v>623.72</v>
      </c>
      <c r="I96" s="68" t="s">
        <v>270</v>
      </c>
      <c r="J96" s="80">
        <v>623.7</v>
      </c>
      <c r="K96" s="68" t="s">
        <v>252</v>
      </c>
      <c r="L96" s="55">
        <f t="shared" si="20"/>
        <v>1.086774699424987</v>
      </c>
      <c r="M96" s="80">
        <v>623.7</v>
      </c>
      <c r="N96" s="80">
        <v>623.7</v>
      </c>
      <c r="O96" s="80">
        <v>623.7</v>
      </c>
      <c r="P96" s="80">
        <v>623.74</v>
      </c>
    </row>
    <row r="97" spans="1:16" s="39" customFormat="1" ht="30" customHeight="1">
      <c r="A97" s="120" t="s">
        <v>68</v>
      </c>
      <c r="B97" s="93" t="s">
        <v>170</v>
      </c>
      <c r="C97" s="58" t="s">
        <v>5</v>
      </c>
      <c r="D97" s="59">
        <f>ROUND(D98,1)+ROUND(D110,1)+ROUND(D123,1)+ROUND(D126,1)+ROUND(D129,1)+ROUND(D132,1)+ROUND(D135,1)+ROUND(D136,1)</f>
        <v>0</v>
      </c>
      <c r="E97" s="59">
        <f aca="true" t="shared" si="22" ref="E97:J97">ROUND(E98,1)+ROUND(E110,1)+ROUND(E123,1)+ROUND(E126,1)+ROUND(E129,1)+ROUND(E132,1)+ROUND(E135,1)+ROUND(E136,1)</f>
        <v>0</v>
      </c>
      <c r="F97" s="59">
        <f t="shared" si="22"/>
        <v>0</v>
      </c>
      <c r="G97" s="59">
        <f t="shared" si="22"/>
        <v>0</v>
      </c>
      <c r="H97" s="59">
        <f t="shared" si="22"/>
        <v>0</v>
      </c>
      <c r="I97" s="106" t="s">
        <v>104</v>
      </c>
      <c r="J97" s="59">
        <f t="shared" si="22"/>
        <v>0</v>
      </c>
      <c r="K97" s="106" t="s">
        <v>104</v>
      </c>
      <c r="L97" s="55" t="str">
        <f t="shared" si="20"/>
        <v>-</v>
      </c>
      <c r="M97" s="59">
        <f>ROUND(M98,1)+ROUND(M110,1)+ROUND(M123,1)+ROUND(M126,1)+ROUND(M129,1)+ROUND(M132,1)+ROUND(M135,1)+ROUND(M136,1)</f>
        <v>0</v>
      </c>
      <c r="N97" s="59">
        <f>ROUND(N98,1)+ROUND(N110,1)+ROUND(N123,1)+ROUND(N126,1)+ROUND(N129,1)+ROUND(N132,1)+ROUND(N135,1)+ROUND(N136,1)</f>
        <v>0</v>
      </c>
      <c r="O97" s="59">
        <f>ROUND(O98,1)+ROUND(O110,1)+ROUND(O123,1)+ROUND(O126,1)+ROUND(O129,1)+ROUND(O132,1)+ROUND(O135,1)+ROUND(O136,1)</f>
        <v>0</v>
      </c>
      <c r="P97" s="59">
        <f>ROUND(P98,1)+ROUND(P110,1)+ROUND(P123,1)+ROUND(P126,1)+ROUND(P129,1)+ROUND(P132,1)+ROUND(P135,1)+ROUND(P136,1)</f>
        <v>0</v>
      </c>
    </row>
    <row r="98" spans="1:16" s="39" customFormat="1" ht="15" customHeight="1">
      <c r="A98" s="75" t="s">
        <v>98</v>
      </c>
      <c r="B98" s="121" t="s">
        <v>143</v>
      </c>
      <c r="C98" s="75" t="s">
        <v>5</v>
      </c>
      <c r="D98" s="80"/>
      <c r="E98" s="80"/>
      <c r="F98" s="80"/>
      <c r="G98" s="80"/>
      <c r="H98" s="80"/>
      <c r="I98" s="68"/>
      <c r="J98" s="80"/>
      <c r="K98" s="68"/>
      <c r="L98" s="55" t="str">
        <f t="shared" si="20"/>
        <v>-</v>
      </c>
      <c r="M98" s="80"/>
      <c r="N98" s="80"/>
      <c r="O98" s="80"/>
      <c r="P98" s="80"/>
    </row>
    <row r="99" spans="1:16" s="39" customFormat="1" ht="15" customHeight="1" hidden="1">
      <c r="A99" s="75"/>
      <c r="B99" s="100" t="s">
        <v>126</v>
      </c>
      <c r="C99" s="75" t="s">
        <v>139</v>
      </c>
      <c r="D99" s="80"/>
      <c r="E99" s="80"/>
      <c r="F99" s="80"/>
      <c r="G99" s="80"/>
      <c r="H99" s="80"/>
      <c r="I99" s="68"/>
      <c r="J99" s="80"/>
      <c r="K99" s="68"/>
      <c r="L99" s="55" t="str">
        <f t="shared" si="20"/>
        <v>-</v>
      </c>
      <c r="M99" s="80"/>
      <c r="N99" s="80"/>
      <c r="O99" s="80"/>
      <c r="P99" s="80"/>
    </row>
    <row r="100" spans="1:16" s="39" customFormat="1" ht="15" customHeight="1" hidden="1">
      <c r="A100" s="75"/>
      <c r="B100" s="112" t="s">
        <v>122</v>
      </c>
      <c r="C100" s="75" t="s">
        <v>139</v>
      </c>
      <c r="D100" s="80"/>
      <c r="E100" s="80"/>
      <c r="F100" s="80"/>
      <c r="G100" s="80"/>
      <c r="H100" s="80"/>
      <c r="I100" s="68"/>
      <c r="J100" s="80"/>
      <c r="K100" s="68"/>
      <c r="L100" s="55" t="str">
        <f t="shared" si="20"/>
        <v>-</v>
      </c>
      <c r="M100" s="80"/>
      <c r="N100" s="80"/>
      <c r="O100" s="80"/>
      <c r="P100" s="80"/>
    </row>
    <row r="101" spans="1:16" s="39" customFormat="1" ht="15" customHeight="1" hidden="1">
      <c r="A101" s="75"/>
      <c r="B101" s="112" t="s">
        <v>123</v>
      </c>
      <c r="C101" s="75" t="s">
        <v>139</v>
      </c>
      <c r="D101" s="80"/>
      <c r="E101" s="80"/>
      <c r="F101" s="80"/>
      <c r="G101" s="80"/>
      <c r="H101" s="80"/>
      <c r="I101" s="68"/>
      <c r="J101" s="80"/>
      <c r="K101" s="68"/>
      <c r="L101" s="55" t="str">
        <f t="shared" si="20"/>
        <v>-</v>
      </c>
      <c r="M101" s="80"/>
      <c r="N101" s="80"/>
      <c r="O101" s="80"/>
      <c r="P101" s="80"/>
    </row>
    <row r="102" spans="1:16" s="39" customFormat="1" ht="15" customHeight="1" hidden="1">
      <c r="A102" s="75"/>
      <c r="B102" s="112" t="s">
        <v>124</v>
      </c>
      <c r="C102" s="75" t="s">
        <v>139</v>
      </c>
      <c r="D102" s="80"/>
      <c r="E102" s="80"/>
      <c r="F102" s="80"/>
      <c r="G102" s="80"/>
      <c r="H102" s="80"/>
      <c r="I102" s="68"/>
      <c r="J102" s="80"/>
      <c r="K102" s="68"/>
      <c r="L102" s="55" t="str">
        <f t="shared" si="20"/>
        <v>-</v>
      </c>
      <c r="M102" s="80"/>
      <c r="N102" s="80"/>
      <c r="O102" s="80"/>
      <c r="P102" s="80"/>
    </row>
    <row r="103" spans="1:16" s="39" customFormat="1" ht="15" customHeight="1" hidden="1">
      <c r="A103" s="75"/>
      <c r="B103" s="112" t="s">
        <v>125</v>
      </c>
      <c r="C103" s="75" t="s">
        <v>139</v>
      </c>
      <c r="D103" s="80"/>
      <c r="E103" s="80"/>
      <c r="F103" s="80"/>
      <c r="G103" s="80"/>
      <c r="H103" s="80"/>
      <c r="I103" s="68"/>
      <c r="J103" s="80"/>
      <c r="K103" s="68"/>
      <c r="L103" s="55" t="str">
        <f t="shared" si="20"/>
        <v>-</v>
      </c>
      <c r="M103" s="80"/>
      <c r="N103" s="80"/>
      <c r="O103" s="80"/>
      <c r="P103" s="80"/>
    </row>
    <row r="104" spans="1:16" s="39" customFormat="1" ht="15" customHeight="1" hidden="1">
      <c r="A104" s="75"/>
      <c r="B104" s="112" t="s">
        <v>129</v>
      </c>
      <c r="C104" s="75"/>
      <c r="D104" s="80"/>
      <c r="E104" s="80"/>
      <c r="F104" s="80"/>
      <c r="G104" s="80"/>
      <c r="H104" s="80"/>
      <c r="I104" s="68"/>
      <c r="J104" s="80"/>
      <c r="K104" s="68"/>
      <c r="L104" s="55" t="str">
        <f t="shared" si="20"/>
        <v>-</v>
      </c>
      <c r="M104" s="80"/>
      <c r="N104" s="80"/>
      <c r="O104" s="80"/>
      <c r="P104" s="80"/>
    </row>
    <row r="105" spans="1:16" s="39" customFormat="1" ht="17.25" customHeight="1" hidden="1">
      <c r="A105" s="75"/>
      <c r="B105" s="100" t="s">
        <v>127</v>
      </c>
      <c r="C105" s="75"/>
      <c r="D105" s="80"/>
      <c r="E105" s="80"/>
      <c r="F105" s="80"/>
      <c r="G105" s="80"/>
      <c r="H105" s="80"/>
      <c r="I105" s="68"/>
      <c r="J105" s="80"/>
      <c r="K105" s="68"/>
      <c r="L105" s="55" t="str">
        <f t="shared" si="20"/>
        <v>-</v>
      </c>
      <c r="M105" s="80"/>
      <c r="N105" s="80"/>
      <c r="O105" s="80"/>
      <c r="P105" s="80"/>
    </row>
    <row r="106" spans="1:16" s="39" customFormat="1" ht="15" customHeight="1" hidden="1">
      <c r="A106" s="75"/>
      <c r="B106" s="112" t="s">
        <v>122</v>
      </c>
      <c r="C106" s="75" t="s">
        <v>28</v>
      </c>
      <c r="D106" s="80"/>
      <c r="E106" s="80"/>
      <c r="F106" s="80"/>
      <c r="G106" s="80"/>
      <c r="H106" s="80"/>
      <c r="I106" s="68"/>
      <c r="J106" s="80"/>
      <c r="K106" s="68"/>
      <c r="L106" s="55" t="str">
        <f t="shared" si="20"/>
        <v>-</v>
      </c>
      <c r="M106" s="80"/>
      <c r="N106" s="80"/>
      <c r="O106" s="80"/>
      <c r="P106" s="80"/>
    </row>
    <row r="107" spans="1:16" s="39" customFormat="1" ht="15" customHeight="1" hidden="1">
      <c r="A107" s="75"/>
      <c r="B107" s="112" t="s">
        <v>123</v>
      </c>
      <c r="C107" s="75" t="s">
        <v>28</v>
      </c>
      <c r="D107" s="80"/>
      <c r="E107" s="80"/>
      <c r="F107" s="80"/>
      <c r="G107" s="80"/>
      <c r="H107" s="80"/>
      <c r="I107" s="68"/>
      <c r="J107" s="80"/>
      <c r="K107" s="68"/>
      <c r="L107" s="55" t="str">
        <f t="shared" si="20"/>
        <v>-</v>
      </c>
      <c r="M107" s="80"/>
      <c r="N107" s="80"/>
      <c r="O107" s="80"/>
      <c r="P107" s="80"/>
    </row>
    <row r="108" spans="1:16" s="39" customFormat="1" ht="15" customHeight="1" hidden="1">
      <c r="A108" s="75"/>
      <c r="B108" s="112" t="s">
        <v>124</v>
      </c>
      <c r="C108" s="75" t="s">
        <v>28</v>
      </c>
      <c r="D108" s="80"/>
      <c r="E108" s="80"/>
      <c r="F108" s="80"/>
      <c r="G108" s="80"/>
      <c r="H108" s="80"/>
      <c r="I108" s="68"/>
      <c r="J108" s="80"/>
      <c r="K108" s="68"/>
      <c r="L108" s="55" t="str">
        <f t="shared" si="20"/>
        <v>-</v>
      </c>
      <c r="M108" s="80"/>
      <c r="N108" s="80"/>
      <c r="O108" s="80"/>
      <c r="P108" s="80"/>
    </row>
    <row r="109" spans="1:16" s="39" customFormat="1" ht="15" customHeight="1" hidden="1">
      <c r="A109" s="75"/>
      <c r="B109" s="112" t="s">
        <v>125</v>
      </c>
      <c r="C109" s="75" t="s">
        <v>28</v>
      </c>
      <c r="D109" s="80"/>
      <c r="E109" s="80"/>
      <c r="F109" s="80"/>
      <c r="G109" s="80"/>
      <c r="H109" s="80"/>
      <c r="I109" s="68"/>
      <c r="J109" s="80"/>
      <c r="K109" s="68"/>
      <c r="L109" s="55" t="str">
        <f t="shared" si="20"/>
        <v>-</v>
      </c>
      <c r="M109" s="80"/>
      <c r="N109" s="80"/>
      <c r="O109" s="80"/>
      <c r="P109" s="80"/>
    </row>
    <row r="110" spans="1:16" s="39" customFormat="1" ht="15" customHeight="1">
      <c r="A110" s="75" t="s">
        <v>99</v>
      </c>
      <c r="B110" s="121" t="s">
        <v>142</v>
      </c>
      <c r="C110" s="75" t="s">
        <v>5</v>
      </c>
      <c r="D110" s="80"/>
      <c r="E110" s="80"/>
      <c r="F110" s="80"/>
      <c r="G110" s="80"/>
      <c r="H110" s="80"/>
      <c r="I110" s="68"/>
      <c r="J110" s="80"/>
      <c r="K110" s="68"/>
      <c r="L110" s="55" t="str">
        <f t="shared" si="20"/>
        <v>-</v>
      </c>
      <c r="M110" s="80"/>
      <c r="N110" s="80"/>
      <c r="O110" s="80"/>
      <c r="P110" s="80"/>
    </row>
    <row r="111" spans="1:16" s="39" customFormat="1" ht="15" customHeight="1" hidden="1">
      <c r="A111" s="75"/>
      <c r="B111" s="95" t="s">
        <v>128</v>
      </c>
      <c r="C111" s="75"/>
      <c r="D111" s="80"/>
      <c r="E111" s="80"/>
      <c r="F111" s="80"/>
      <c r="G111" s="80"/>
      <c r="H111" s="80"/>
      <c r="I111" s="68"/>
      <c r="J111" s="80"/>
      <c r="K111" s="68"/>
      <c r="L111" s="55" t="str">
        <f t="shared" si="20"/>
        <v>-</v>
      </c>
      <c r="M111" s="80"/>
      <c r="N111" s="80"/>
      <c r="O111" s="80"/>
      <c r="P111" s="80"/>
    </row>
    <row r="112" spans="1:16" s="39" customFormat="1" ht="15" customHeight="1" hidden="1">
      <c r="A112" s="75"/>
      <c r="B112" s="112" t="s">
        <v>122</v>
      </c>
      <c r="C112" s="75" t="s">
        <v>140</v>
      </c>
      <c r="D112" s="80"/>
      <c r="E112" s="80"/>
      <c r="F112" s="80"/>
      <c r="G112" s="80"/>
      <c r="H112" s="80"/>
      <c r="I112" s="68"/>
      <c r="J112" s="80"/>
      <c r="K112" s="68"/>
      <c r="L112" s="55" t="str">
        <f t="shared" si="20"/>
        <v>-</v>
      </c>
      <c r="M112" s="80"/>
      <c r="N112" s="80"/>
      <c r="O112" s="80"/>
      <c r="P112" s="80"/>
    </row>
    <row r="113" spans="1:16" s="39" customFormat="1" ht="15" customHeight="1" hidden="1">
      <c r="A113" s="75"/>
      <c r="B113" s="112" t="s">
        <v>123</v>
      </c>
      <c r="C113" s="75" t="s">
        <v>140</v>
      </c>
      <c r="D113" s="80"/>
      <c r="E113" s="80"/>
      <c r="F113" s="80"/>
      <c r="G113" s="80"/>
      <c r="H113" s="80"/>
      <c r="I113" s="68"/>
      <c r="J113" s="80"/>
      <c r="K113" s="68"/>
      <c r="L113" s="55" t="str">
        <f t="shared" si="20"/>
        <v>-</v>
      </c>
      <c r="M113" s="80"/>
      <c r="N113" s="80"/>
      <c r="O113" s="80"/>
      <c r="P113" s="80"/>
    </row>
    <row r="114" spans="1:16" s="39" customFormat="1" ht="15" customHeight="1" hidden="1">
      <c r="A114" s="75"/>
      <c r="B114" s="112" t="s">
        <v>124</v>
      </c>
      <c r="C114" s="75" t="s">
        <v>140</v>
      </c>
      <c r="D114" s="80"/>
      <c r="E114" s="80"/>
      <c r="F114" s="80"/>
      <c r="G114" s="80"/>
      <c r="H114" s="80"/>
      <c r="I114" s="68"/>
      <c r="J114" s="80"/>
      <c r="K114" s="68"/>
      <c r="L114" s="55" t="str">
        <f t="shared" si="20"/>
        <v>-</v>
      </c>
      <c r="M114" s="80"/>
      <c r="N114" s="80"/>
      <c r="O114" s="80"/>
      <c r="P114" s="80"/>
    </row>
    <row r="115" spans="1:16" s="39" customFormat="1" ht="15" customHeight="1" hidden="1">
      <c r="A115" s="75"/>
      <c r="B115" s="112" t="s">
        <v>125</v>
      </c>
      <c r="C115" s="75" t="s">
        <v>140</v>
      </c>
      <c r="D115" s="80"/>
      <c r="E115" s="80"/>
      <c r="F115" s="80"/>
      <c r="G115" s="80"/>
      <c r="H115" s="80"/>
      <c r="I115" s="68"/>
      <c r="J115" s="80"/>
      <c r="K115" s="68"/>
      <c r="L115" s="55" t="str">
        <f t="shared" si="20"/>
        <v>-</v>
      </c>
      <c r="M115" s="80"/>
      <c r="N115" s="80"/>
      <c r="O115" s="80"/>
      <c r="P115" s="80"/>
    </row>
    <row r="116" spans="1:16" s="39" customFormat="1" ht="15" customHeight="1" hidden="1">
      <c r="A116" s="75"/>
      <c r="B116" s="112" t="s">
        <v>129</v>
      </c>
      <c r="C116" s="75" t="s">
        <v>140</v>
      </c>
      <c r="D116" s="80"/>
      <c r="E116" s="80"/>
      <c r="F116" s="80"/>
      <c r="G116" s="80"/>
      <c r="H116" s="80"/>
      <c r="I116" s="68"/>
      <c r="J116" s="80"/>
      <c r="K116" s="68"/>
      <c r="L116" s="55" t="str">
        <f t="shared" si="20"/>
        <v>-</v>
      </c>
      <c r="M116" s="80"/>
      <c r="N116" s="80"/>
      <c r="O116" s="80"/>
      <c r="P116" s="80"/>
    </row>
    <row r="117" spans="1:16" s="39" customFormat="1" ht="15" customHeight="1" hidden="1">
      <c r="A117" s="75"/>
      <c r="B117" s="95" t="s">
        <v>130</v>
      </c>
      <c r="C117" s="36"/>
      <c r="D117" s="80"/>
      <c r="E117" s="80"/>
      <c r="F117" s="80"/>
      <c r="G117" s="80"/>
      <c r="H117" s="80"/>
      <c r="I117" s="68"/>
      <c r="J117" s="80"/>
      <c r="K117" s="68"/>
      <c r="L117" s="55" t="str">
        <f t="shared" si="20"/>
        <v>-</v>
      </c>
      <c r="M117" s="80"/>
      <c r="N117" s="80"/>
      <c r="O117" s="80"/>
      <c r="P117" s="80"/>
    </row>
    <row r="118" spans="1:16" s="39" customFormat="1" ht="15" customHeight="1" hidden="1">
      <c r="A118" s="75"/>
      <c r="B118" s="112" t="s">
        <v>122</v>
      </c>
      <c r="C118" s="36" t="s">
        <v>141</v>
      </c>
      <c r="D118" s="80"/>
      <c r="E118" s="80"/>
      <c r="F118" s="80"/>
      <c r="G118" s="80"/>
      <c r="H118" s="80"/>
      <c r="I118" s="68"/>
      <c r="J118" s="80"/>
      <c r="K118" s="68"/>
      <c r="L118" s="55" t="str">
        <f t="shared" si="20"/>
        <v>-</v>
      </c>
      <c r="M118" s="80"/>
      <c r="N118" s="80"/>
      <c r="O118" s="80"/>
      <c r="P118" s="80"/>
    </row>
    <row r="119" spans="1:16" s="39" customFormat="1" ht="15" customHeight="1" hidden="1">
      <c r="A119" s="75"/>
      <c r="B119" s="112" t="s">
        <v>123</v>
      </c>
      <c r="C119" s="36" t="s">
        <v>141</v>
      </c>
      <c r="D119" s="80"/>
      <c r="E119" s="80"/>
      <c r="F119" s="80"/>
      <c r="G119" s="80"/>
      <c r="H119" s="80"/>
      <c r="I119" s="68"/>
      <c r="J119" s="80"/>
      <c r="K119" s="68"/>
      <c r="L119" s="55" t="str">
        <f t="shared" si="20"/>
        <v>-</v>
      </c>
      <c r="M119" s="80"/>
      <c r="N119" s="80"/>
      <c r="O119" s="80"/>
      <c r="P119" s="80"/>
    </row>
    <row r="120" spans="1:16" s="39" customFormat="1" ht="15" customHeight="1" hidden="1">
      <c r="A120" s="75"/>
      <c r="B120" s="112" t="s">
        <v>124</v>
      </c>
      <c r="C120" s="36" t="s">
        <v>141</v>
      </c>
      <c r="D120" s="80"/>
      <c r="E120" s="80"/>
      <c r="F120" s="80"/>
      <c r="G120" s="80"/>
      <c r="H120" s="80"/>
      <c r="I120" s="68"/>
      <c r="J120" s="80"/>
      <c r="K120" s="68"/>
      <c r="L120" s="55" t="str">
        <f t="shared" si="20"/>
        <v>-</v>
      </c>
      <c r="M120" s="80"/>
      <c r="N120" s="80"/>
      <c r="O120" s="80"/>
      <c r="P120" s="80"/>
    </row>
    <row r="121" spans="1:16" s="39" customFormat="1" ht="15" customHeight="1" hidden="1">
      <c r="A121" s="75"/>
      <c r="B121" s="112" t="s">
        <v>125</v>
      </c>
      <c r="C121" s="36" t="s">
        <v>141</v>
      </c>
      <c r="D121" s="80"/>
      <c r="E121" s="80"/>
      <c r="F121" s="80"/>
      <c r="G121" s="80"/>
      <c r="H121" s="80"/>
      <c r="I121" s="68"/>
      <c r="J121" s="80"/>
      <c r="K121" s="68"/>
      <c r="L121" s="55" t="str">
        <f t="shared" si="20"/>
        <v>-</v>
      </c>
      <c r="M121" s="80"/>
      <c r="N121" s="80"/>
      <c r="O121" s="80"/>
      <c r="P121" s="80"/>
    </row>
    <row r="122" spans="1:16" s="39" customFormat="1" ht="15" customHeight="1" hidden="1">
      <c r="A122" s="75"/>
      <c r="B122" s="112" t="s">
        <v>129</v>
      </c>
      <c r="C122" s="36" t="s">
        <v>141</v>
      </c>
      <c r="D122" s="80"/>
      <c r="E122" s="80"/>
      <c r="F122" s="80"/>
      <c r="G122" s="80"/>
      <c r="H122" s="80"/>
      <c r="I122" s="68"/>
      <c r="J122" s="80"/>
      <c r="K122" s="68"/>
      <c r="L122" s="55" t="str">
        <f t="shared" si="20"/>
        <v>-</v>
      </c>
      <c r="M122" s="80"/>
      <c r="N122" s="80"/>
      <c r="O122" s="80"/>
      <c r="P122" s="80"/>
    </row>
    <row r="123" spans="1:16" s="61" customFormat="1" ht="15.75">
      <c r="A123" s="75" t="s">
        <v>100</v>
      </c>
      <c r="B123" s="111" t="s">
        <v>144</v>
      </c>
      <c r="C123" s="75" t="s">
        <v>5</v>
      </c>
      <c r="D123" s="80"/>
      <c r="E123" s="80"/>
      <c r="F123" s="80"/>
      <c r="G123" s="80"/>
      <c r="H123" s="80"/>
      <c r="I123" s="122"/>
      <c r="J123" s="80"/>
      <c r="K123" s="68"/>
      <c r="L123" s="55" t="str">
        <f t="shared" si="20"/>
        <v>-</v>
      </c>
      <c r="M123" s="80"/>
      <c r="N123" s="80"/>
      <c r="O123" s="80"/>
      <c r="P123" s="80"/>
    </row>
    <row r="124" spans="1:16" s="61" customFormat="1" ht="15.75" hidden="1">
      <c r="A124" s="75"/>
      <c r="B124" s="100" t="s">
        <v>53</v>
      </c>
      <c r="C124" s="75" t="s">
        <v>137</v>
      </c>
      <c r="D124" s="72"/>
      <c r="E124" s="72"/>
      <c r="F124" s="80"/>
      <c r="G124" s="80"/>
      <c r="H124" s="80"/>
      <c r="I124" s="122"/>
      <c r="J124" s="80"/>
      <c r="K124" s="68"/>
      <c r="L124" s="55" t="str">
        <f t="shared" si="20"/>
        <v>-</v>
      </c>
      <c r="M124" s="80"/>
      <c r="N124" s="80"/>
      <c r="O124" s="80"/>
      <c r="P124" s="80"/>
    </row>
    <row r="125" spans="1:16" s="61" customFormat="1" ht="15.75" hidden="1">
      <c r="A125" s="75"/>
      <c r="B125" s="100" t="s">
        <v>54</v>
      </c>
      <c r="C125" s="75" t="s">
        <v>55</v>
      </c>
      <c r="D125" s="72"/>
      <c r="E125" s="72"/>
      <c r="F125" s="80"/>
      <c r="G125" s="80"/>
      <c r="H125" s="80"/>
      <c r="I125" s="122"/>
      <c r="J125" s="80"/>
      <c r="K125" s="68"/>
      <c r="L125" s="55" t="str">
        <f t="shared" si="20"/>
        <v>-</v>
      </c>
      <c r="M125" s="80"/>
      <c r="N125" s="80"/>
      <c r="O125" s="80"/>
      <c r="P125" s="80"/>
    </row>
    <row r="126" spans="1:16" s="61" customFormat="1" ht="15.75">
      <c r="A126" s="75" t="s">
        <v>132</v>
      </c>
      <c r="B126" s="111" t="s">
        <v>145</v>
      </c>
      <c r="C126" s="75" t="s">
        <v>5</v>
      </c>
      <c r="D126" s="80"/>
      <c r="E126" s="80"/>
      <c r="F126" s="80"/>
      <c r="G126" s="80"/>
      <c r="H126" s="80"/>
      <c r="I126" s="122"/>
      <c r="J126" s="80"/>
      <c r="K126" s="68"/>
      <c r="L126" s="55" t="str">
        <f t="shared" si="20"/>
        <v>-</v>
      </c>
      <c r="M126" s="80"/>
      <c r="N126" s="80"/>
      <c r="O126" s="80"/>
      <c r="P126" s="80"/>
    </row>
    <row r="127" spans="1:16" s="61" customFormat="1" ht="15.75" hidden="1">
      <c r="A127" s="75"/>
      <c r="B127" s="100" t="s">
        <v>56</v>
      </c>
      <c r="C127" s="71" t="s">
        <v>138</v>
      </c>
      <c r="D127" s="72"/>
      <c r="E127" s="72"/>
      <c r="F127" s="80"/>
      <c r="G127" s="80"/>
      <c r="H127" s="80"/>
      <c r="I127" s="122"/>
      <c r="J127" s="80"/>
      <c r="K127" s="68"/>
      <c r="L127" s="55" t="str">
        <f t="shared" si="20"/>
        <v>-</v>
      </c>
      <c r="M127" s="80"/>
      <c r="N127" s="80"/>
      <c r="O127" s="80"/>
      <c r="P127" s="80"/>
    </row>
    <row r="128" spans="1:16" s="61" customFormat="1" ht="15.75" hidden="1">
      <c r="A128" s="75"/>
      <c r="B128" s="100" t="s">
        <v>57</v>
      </c>
      <c r="C128" s="75" t="s">
        <v>10</v>
      </c>
      <c r="D128" s="72"/>
      <c r="E128" s="72"/>
      <c r="F128" s="80"/>
      <c r="G128" s="80"/>
      <c r="H128" s="80"/>
      <c r="I128" s="122"/>
      <c r="J128" s="80"/>
      <c r="K128" s="68"/>
      <c r="L128" s="55" t="str">
        <f t="shared" si="20"/>
        <v>-</v>
      </c>
      <c r="M128" s="80"/>
      <c r="N128" s="80"/>
      <c r="O128" s="80"/>
      <c r="P128" s="80"/>
    </row>
    <row r="129" spans="1:16" s="61" customFormat="1" ht="15.75">
      <c r="A129" s="75" t="s">
        <v>133</v>
      </c>
      <c r="B129" s="111" t="s">
        <v>148</v>
      </c>
      <c r="C129" s="75" t="s">
        <v>5</v>
      </c>
      <c r="D129" s="80"/>
      <c r="E129" s="80"/>
      <c r="F129" s="80"/>
      <c r="G129" s="80"/>
      <c r="H129" s="80"/>
      <c r="I129" s="122"/>
      <c r="J129" s="80"/>
      <c r="K129" s="68"/>
      <c r="L129" s="55" t="str">
        <f t="shared" si="20"/>
        <v>-</v>
      </c>
      <c r="M129" s="80"/>
      <c r="N129" s="80"/>
      <c r="O129" s="80"/>
      <c r="P129" s="80"/>
    </row>
    <row r="130" spans="1:16" s="61" customFormat="1" ht="15.75" hidden="1">
      <c r="A130" s="75"/>
      <c r="B130" s="100" t="s">
        <v>29</v>
      </c>
      <c r="C130" s="71" t="s">
        <v>138</v>
      </c>
      <c r="D130" s="72"/>
      <c r="E130" s="72"/>
      <c r="F130" s="80"/>
      <c r="G130" s="80"/>
      <c r="H130" s="80"/>
      <c r="I130" s="122"/>
      <c r="J130" s="80"/>
      <c r="K130" s="68"/>
      <c r="L130" s="55" t="str">
        <f t="shared" si="20"/>
        <v>-</v>
      </c>
      <c r="M130" s="80"/>
      <c r="N130" s="80"/>
      <c r="O130" s="80"/>
      <c r="P130" s="80"/>
    </row>
    <row r="131" spans="1:16" s="61" customFormat="1" ht="15.75" hidden="1">
      <c r="A131" s="75"/>
      <c r="B131" s="100" t="s">
        <v>30</v>
      </c>
      <c r="C131" s="75" t="s">
        <v>10</v>
      </c>
      <c r="D131" s="72"/>
      <c r="E131" s="72"/>
      <c r="F131" s="80"/>
      <c r="G131" s="80"/>
      <c r="H131" s="80"/>
      <c r="I131" s="122"/>
      <c r="J131" s="80"/>
      <c r="K131" s="68"/>
      <c r="L131" s="55" t="str">
        <f t="shared" si="20"/>
        <v>-</v>
      </c>
      <c r="M131" s="80"/>
      <c r="N131" s="80"/>
      <c r="O131" s="80"/>
      <c r="P131" s="80"/>
    </row>
    <row r="132" spans="1:16" s="61" customFormat="1" ht="15.75">
      <c r="A132" s="75" t="s">
        <v>134</v>
      </c>
      <c r="B132" s="111" t="s">
        <v>146</v>
      </c>
      <c r="C132" s="75" t="s">
        <v>5</v>
      </c>
      <c r="D132" s="80"/>
      <c r="E132" s="80"/>
      <c r="F132" s="80"/>
      <c r="G132" s="80"/>
      <c r="H132" s="80"/>
      <c r="I132" s="122"/>
      <c r="J132" s="80"/>
      <c r="K132" s="68"/>
      <c r="L132" s="55" t="str">
        <f t="shared" si="20"/>
        <v>-</v>
      </c>
      <c r="M132" s="80"/>
      <c r="N132" s="80"/>
      <c r="O132" s="80"/>
      <c r="P132" s="80"/>
    </row>
    <row r="133" spans="1:16" s="61" customFormat="1" ht="15.75" hidden="1">
      <c r="A133" s="75"/>
      <c r="B133" s="100" t="s">
        <v>58</v>
      </c>
      <c r="C133" s="71" t="s">
        <v>138</v>
      </c>
      <c r="D133" s="72"/>
      <c r="E133" s="72"/>
      <c r="F133" s="80"/>
      <c r="G133" s="80"/>
      <c r="H133" s="80"/>
      <c r="I133" s="122"/>
      <c r="J133" s="80"/>
      <c r="K133" s="68"/>
      <c r="L133" s="55" t="str">
        <f t="shared" si="20"/>
        <v>-</v>
      </c>
      <c r="M133" s="80"/>
      <c r="N133" s="80"/>
      <c r="O133" s="80"/>
      <c r="P133" s="80"/>
    </row>
    <row r="134" spans="1:16" s="61" customFormat="1" ht="15.75" hidden="1">
      <c r="A134" s="75"/>
      <c r="B134" s="100" t="s">
        <v>59</v>
      </c>
      <c r="C134" s="75" t="s">
        <v>10</v>
      </c>
      <c r="D134" s="72"/>
      <c r="E134" s="72"/>
      <c r="F134" s="80"/>
      <c r="G134" s="80"/>
      <c r="H134" s="80"/>
      <c r="I134" s="122"/>
      <c r="J134" s="80"/>
      <c r="K134" s="68"/>
      <c r="L134" s="55" t="str">
        <f t="shared" si="20"/>
        <v>-</v>
      </c>
      <c r="M134" s="80"/>
      <c r="N134" s="80"/>
      <c r="O134" s="80"/>
      <c r="P134" s="80"/>
    </row>
    <row r="135" spans="1:16" s="61" customFormat="1" ht="15.75">
      <c r="A135" s="75" t="s">
        <v>135</v>
      </c>
      <c r="B135" s="111" t="s">
        <v>131</v>
      </c>
      <c r="C135" s="75" t="s">
        <v>5</v>
      </c>
      <c r="D135" s="80"/>
      <c r="E135" s="80"/>
      <c r="F135" s="80"/>
      <c r="G135" s="80"/>
      <c r="H135" s="80"/>
      <c r="I135" s="122"/>
      <c r="J135" s="80"/>
      <c r="K135" s="68"/>
      <c r="L135" s="55" t="str">
        <f t="shared" si="20"/>
        <v>-</v>
      </c>
      <c r="M135" s="80"/>
      <c r="N135" s="80"/>
      <c r="O135" s="80"/>
      <c r="P135" s="80"/>
    </row>
    <row r="136" spans="1:16" s="61" customFormat="1" ht="15" customHeight="1">
      <c r="A136" s="75" t="s">
        <v>136</v>
      </c>
      <c r="B136" s="111" t="s">
        <v>199</v>
      </c>
      <c r="C136" s="75" t="s">
        <v>5</v>
      </c>
      <c r="D136" s="80"/>
      <c r="E136" s="80"/>
      <c r="F136" s="80"/>
      <c r="G136" s="80"/>
      <c r="H136" s="80"/>
      <c r="I136" s="122"/>
      <c r="J136" s="80"/>
      <c r="K136" s="68"/>
      <c r="L136" s="55" t="str">
        <f t="shared" si="20"/>
        <v>-</v>
      </c>
      <c r="M136" s="80"/>
      <c r="N136" s="80"/>
      <c r="O136" s="80"/>
      <c r="P136" s="80"/>
    </row>
    <row r="137" spans="1:16" s="61" customFormat="1" ht="117" customHeight="1">
      <c r="A137" s="75" t="s">
        <v>42</v>
      </c>
      <c r="B137" s="79" t="s">
        <v>166</v>
      </c>
      <c r="C137" s="71" t="s">
        <v>5</v>
      </c>
      <c r="D137" s="72">
        <v>49.4</v>
      </c>
      <c r="E137" s="72">
        <v>32.5</v>
      </c>
      <c r="F137" s="72">
        <v>31.8</v>
      </c>
      <c r="G137" s="72"/>
      <c r="H137" s="72">
        <v>23</v>
      </c>
      <c r="I137" s="123" t="s">
        <v>262</v>
      </c>
      <c r="J137" s="72">
        <v>23</v>
      </c>
      <c r="K137" s="68" t="s">
        <v>240</v>
      </c>
      <c r="L137" s="55">
        <f t="shared" si="20"/>
        <v>0.7232704402515723</v>
      </c>
      <c r="M137" s="72">
        <v>23</v>
      </c>
      <c r="N137" s="72">
        <v>23</v>
      </c>
      <c r="O137" s="72">
        <v>23</v>
      </c>
      <c r="P137" s="72">
        <v>23</v>
      </c>
    </row>
    <row r="138" spans="1:16" s="61" customFormat="1" ht="15" customHeight="1">
      <c r="A138" s="90" t="s">
        <v>43</v>
      </c>
      <c r="B138" s="91" t="s">
        <v>8</v>
      </c>
      <c r="C138" s="58" t="s">
        <v>5</v>
      </c>
      <c r="D138" s="59">
        <f>SUM(D139:D141)</f>
        <v>0</v>
      </c>
      <c r="E138" s="59">
        <f aca="true" t="shared" si="23" ref="E138:J138">SUM(E139:E141)</f>
        <v>0</v>
      </c>
      <c r="F138" s="59">
        <f t="shared" si="23"/>
        <v>0</v>
      </c>
      <c r="G138" s="59">
        <f t="shared" si="23"/>
        <v>0</v>
      </c>
      <c r="H138" s="59">
        <f t="shared" si="23"/>
        <v>0</v>
      </c>
      <c r="I138" s="106" t="s">
        <v>104</v>
      </c>
      <c r="J138" s="59">
        <f t="shared" si="23"/>
        <v>0</v>
      </c>
      <c r="K138" s="106" t="s">
        <v>104</v>
      </c>
      <c r="L138" s="55" t="str">
        <f t="shared" si="20"/>
        <v>-</v>
      </c>
      <c r="M138" s="59">
        <f>SUM(M139:M141)</f>
        <v>0</v>
      </c>
      <c r="N138" s="59">
        <f>SUM(N139:N141)</f>
        <v>0</v>
      </c>
      <c r="O138" s="59">
        <f>SUM(O139:O141)</f>
        <v>0</v>
      </c>
      <c r="P138" s="59">
        <f>SUM(P139:P141)</f>
        <v>0</v>
      </c>
    </row>
    <row r="139" spans="1:16" s="39" customFormat="1" ht="48" customHeight="1">
      <c r="A139" s="75" t="s">
        <v>101</v>
      </c>
      <c r="B139" s="124" t="s">
        <v>19</v>
      </c>
      <c r="C139" s="47" t="s">
        <v>5</v>
      </c>
      <c r="D139" s="80"/>
      <c r="E139" s="80"/>
      <c r="F139" s="80"/>
      <c r="G139" s="80"/>
      <c r="H139" s="80"/>
      <c r="I139" s="68"/>
      <c r="J139" s="80"/>
      <c r="K139" s="68"/>
      <c r="L139" s="55" t="str">
        <f t="shared" si="20"/>
        <v>-</v>
      </c>
      <c r="M139" s="80"/>
      <c r="N139" s="80"/>
      <c r="O139" s="80"/>
      <c r="P139" s="80"/>
    </row>
    <row r="140" spans="1:16" s="39" customFormat="1" ht="105" customHeight="1">
      <c r="A140" s="75" t="s">
        <v>102</v>
      </c>
      <c r="B140" s="124" t="s">
        <v>18</v>
      </c>
      <c r="C140" s="47" t="s">
        <v>5</v>
      </c>
      <c r="D140" s="80"/>
      <c r="E140" s="80"/>
      <c r="F140" s="80"/>
      <c r="G140" s="80"/>
      <c r="H140" s="80"/>
      <c r="I140" s="68"/>
      <c r="J140" s="80"/>
      <c r="K140" s="68"/>
      <c r="L140" s="55" t="str">
        <f t="shared" si="20"/>
        <v>-</v>
      </c>
      <c r="M140" s="80"/>
      <c r="N140" s="80"/>
      <c r="O140" s="80"/>
      <c r="P140" s="80"/>
    </row>
    <row r="141" spans="1:16" s="39" customFormat="1" ht="79.5" customHeight="1">
      <c r="A141" s="75" t="s">
        <v>103</v>
      </c>
      <c r="B141" s="124" t="s">
        <v>32</v>
      </c>
      <c r="C141" s="47" t="s">
        <v>5</v>
      </c>
      <c r="D141" s="80"/>
      <c r="E141" s="80"/>
      <c r="F141" s="80"/>
      <c r="G141" s="80"/>
      <c r="H141" s="80"/>
      <c r="I141" s="68"/>
      <c r="J141" s="80"/>
      <c r="K141" s="68"/>
      <c r="L141" s="55" t="str">
        <f t="shared" si="20"/>
        <v>-</v>
      </c>
      <c r="M141" s="80"/>
      <c r="N141" s="80"/>
      <c r="O141" s="80"/>
      <c r="P141" s="80"/>
    </row>
    <row r="142" spans="1:16" s="61" customFormat="1" ht="131.25" customHeight="1">
      <c r="A142" s="75" t="s">
        <v>44</v>
      </c>
      <c r="B142" s="79" t="s">
        <v>167</v>
      </c>
      <c r="C142" s="75" t="s">
        <v>5</v>
      </c>
      <c r="D142" s="80">
        <v>147.2</v>
      </c>
      <c r="E142" s="80">
        <v>197.3</v>
      </c>
      <c r="F142" s="80">
        <v>157.5</v>
      </c>
      <c r="G142" s="80"/>
      <c r="H142" s="116">
        <f>(H32+H137)*5%</f>
        <v>152.52</v>
      </c>
      <c r="I142" s="68" t="s">
        <v>266</v>
      </c>
      <c r="J142" s="116">
        <f>(J32+J137)*5%</f>
        <v>150.39000000000001</v>
      </c>
      <c r="K142" s="68" t="s">
        <v>265</v>
      </c>
      <c r="L142" s="55">
        <f t="shared" si="20"/>
        <v>0.954857142857143</v>
      </c>
      <c r="M142" s="116">
        <f>(M32+M137)*5%</f>
        <v>153.33</v>
      </c>
      <c r="N142" s="116">
        <f>(N32+N137)*5%</f>
        <v>156.455</v>
      </c>
      <c r="O142" s="116">
        <f>(O32+O137)*5%</f>
        <v>150.64000000000001</v>
      </c>
      <c r="P142" s="116">
        <f>(P32+P137)*5%</f>
        <v>153.95000000000002</v>
      </c>
    </row>
    <row r="143" spans="1:16" s="61" customFormat="1" ht="66.75" customHeight="1">
      <c r="A143" s="75" t="s">
        <v>45</v>
      </c>
      <c r="B143" s="79" t="s">
        <v>200</v>
      </c>
      <c r="C143" s="75" t="s">
        <v>5</v>
      </c>
      <c r="D143" s="80"/>
      <c r="E143" s="80"/>
      <c r="F143" s="80"/>
      <c r="G143" s="80"/>
      <c r="H143" s="80"/>
      <c r="I143" s="68"/>
      <c r="J143" s="80"/>
      <c r="K143" s="68"/>
      <c r="L143" s="55" t="str">
        <f t="shared" si="20"/>
        <v>-</v>
      </c>
      <c r="M143" s="80"/>
      <c r="N143" s="80"/>
      <c r="O143" s="80"/>
      <c r="P143" s="80"/>
    </row>
    <row r="144" spans="1:16" s="61" customFormat="1" ht="79.5" customHeight="1">
      <c r="A144" s="75" t="s">
        <v>46</v>
      </c>
      <c r="B144" s="79" t="s">
        <v>235</v>
      </c>
      <c r="C144" s="75" t="s">
        <v>5</v>
      </c>
      <c r="D144" s="80"/>
      <c r="E144" s="80"/>
      <c r="F144" s="80">
        <v>357.5</v>
      </c>
      <c r="G144" s="80"/>
      <c r="H144" s="80"/>
      <c r="I144" s="68"/>
      <c r="J144" s="80"/>
      <c r="K144" s="68"/>
      <c r="L144" s="55" t="str">
        <f aca="true" t="shared" si="24" ref="L144:L149">IF(AND(F144&gt;0,J144&gt;0),J144/F144,"-")</f>
        <v>-</v>
      </c>
      <c r="M144" s="80"/>
      <c r="N144" s="80"/>
      <c r="O144" s="80"/>
      <c r="P144" s="80"/>
    </row>
    <row r="145" spans="1:16" s="61" customFormat="1" ht="99" customHeight="1">
      <c r="A145" s="75" t="s">
        <v>65</v>
      </c>
      <c r="B145" s="79" t="s">
        <v>232</v>
      </c>
      <c r="C145" s="75" t="s">
        <v>5</v>
      </c>
      <c r="D145" s="80"/>
      <c r="E145" s="80"/>
      <c r="F145" s="80"/>
      <c r="G145" s="80"/>
      <c r="H145" s="80"/>
      <c r="I145" s="68"/>
      <c r="J145" s="80"/>
      <c r="K145" s="68"/>
      <c r="L145" s="55" t="str">
        <f t="shared" si="24"/>
        <v>-</v>
      </c>
      <c r="M145" s="80"/>
      <c r="N145" s="80"/>
      <c r="O145" s="80"/>
      <c r="P145" s="80"/>
    </row>
    <row r="146" spans="1:16" s="61" customFormat="1" ht="67.5" customHeight="1">
      <c r="A146" s="75" t="s">
        <v>211</v>
      </c>
      <c r="B146" s="79" t="s">
        <v>236</v>
      </c>
      <c r="C146" s="75" t="s">
        <v>5</v>
      </c>
      <c r="D146" s="80"/>
      <c r="E146" s="80"/>
      <c r="F146" s="80"/>
      <c r="G146" s="80"/>
      <c r="H146" s="80"/>
      <c r="I146" s="68"/>
      <c r="J146" s="80"/>
      <c r="K146" s="68"/>
      <c r="L146" s="55" t="str">
        <f t="shared" si="24"/>
        <v>-</v>
      </c>
      <c r="M146" s="80"/>
      <c r="N146" s="80"/>
      <c r="O146" s="80"/>
      <c r="P146" s="80"/>
    </row>
    <row r="147" spans="1:16" s="61" customFormat="1" ht="15" customHeight="1">
      <c r="A147" s="71" t="s">
        <v>212</v>
      </c>
      <c r="B147" s="125" t="str">
        <f>IF($C$31="да","Необходимая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47" s="58" t="s">
        <v>5</v>
      </c>
      <c r="D147" s="59">
        <f>ROUND(D32,1)+ROUND(D137,1)+ROUND(D138,1)+ROUND(D142,1)+ROUND(D143,1)+ROUND(D144,1)+ROUND(D145,1)+ROUND(D146,1)</f>
        <v>3525.9</v>
      </c>
      <c r="E147" s="59">
        <f>ROUND(E32,1)+ROUND(E137,1)+ROUND(E138,1)+ROUND(E142,1)+ROUND(E143,1)+ROUND(E144,1)+ROUND(E145,1)+ROUND(E146,1)</f>
        <v>4143</v>
      </c>
      <c r="F147" s="59">
        <f>ROUND(F32,1)+ROUND(F137,1)+ROUND(F138,1)+ROUND(F142,1)+ROUND(F143,1)+ROUND(F144,1)+ROUND(F145,1)+ROUND(F146,1)</f>
        <v>3664.4</v>
      </c>
      <c r="G147" s="59">
        <f>ROUND(G32,1)+ROUND(G137,1)+ROUND(G138,1)+ROUND(G142,1)+ROUND(G143,1)+ROUND(G144,1)+ROUND(G145,1)+ROUND(G146,1)</f>
        <v>0</v>
      </c>
      <c r="H147" s="59">
        <f>ROUND(H32,1)+ROUND(H137,1)+ROUND(H138,1)+ROUND(H142,1)+ROUND(H143,1)+ROUND(H144,1)+ROUND(H145,1)+ROUND(H146,1)</f>
        <v>3202.9</v>
      </c>
      <c r="I147" s="68" t="s">
        <v>105</v>
      </c>
      <c r="J147" s="59">
        <f>ROUND(J32,1)+ROUND(J137,1)+ROUND(J138,1)+ROUND(J142,1)+ROUND(J143,1)+ROUND(J144,1)+ROUND(J145,1)+ROUND(J146,1)</f>
        <v>3158.2000000000003</v>
      </c>
      <c r="K147" s="68" t="s">
        <v>105</v>
      </c>
      <c r="L147" s="55">
        <f t="shared" si="24"/>
        <v>0.86186005894553</v>
      </c>
      <c r="M147" s="59">
        <f>ROUND(M32,1)+ROUND(M137,1)+ROUND(M138,1)+ROUND(M142,1)+ROUND(M143,1)+ROUND(M144,1)+ROUND(M145,1)+ROUND(M146,1)</f>
        <v>3219.9</v>
      </c>
      <c r="N147" s="59">
        <f>ROUND(N32,1)+ROUND(N137,1)+ROUND(N138,1)+ROUND(N142,1)+ROUND(N143,1)+ROUND(N144,1)+ROUND(N145,1)+ROUND(N146,1)</f>
        <v>3285.6</v>
      </c>
      <c r="O147" s="59">
        <f>ROUND(O32,1)+ROUND(O137,1)+ROUND(O138,1)+ROUND(O142,1)+ROUND(O143,1)+ROUND(O144,1)+ROUND(O145,1)+ROUND(O146,1)</f>
        <v>3163.4</v>
      </c>
      <c r="P147" s="59">
        <f>ROUND(P32,1)+ROUND(P137,1)+ROUND(P138,1)+ROUND(P142,1)+ROUND(P143,1)+ROUND(P144,1)+ROUND(P145,1)+ROUND(P146,1)</f>
        <v>3233</v>
      </c>
    </row>
    <row r="148" spans="1:16" s="61" customFormat="1" ht="61.5" customHeight="1">
      <c r="A148" s="71" t="s">
        <v>233</v>
      </c>
      <c r="B148" s="126" t="str">
        <f>IF($C$31="Да","Тариф (без учета НДС)","Тариф (НДС не облагается)")</f>
        <v>Тариф (НДС не облагается)</v>
      </c>
      <c r="C148" s="127" t="s">
        <v>10</v>
      </c>
      <c r="D148" s="128">
        <f>ROUND(D147,1)/ROUND(D14,1)*1000</f>
        <v>92.93847857029891</v>
      </c>
      <c r="E148" s="128">
        <f>ROUND(E147,1)/ROUND(E14,1)*1000</f>
        <v>117.85086446723899</v>
      </c>
      <c r="F148" s="128">
        <f>ROUND(F147,1)/ROUND(F14,1)*1000</f>
        <v>96.58917180663187</v>
      </c>
      <c r="G148" s="128" t="e">
        <f>ROUND(G147,1)/ROUND(G14,1)*1000</f>
        <v>#DIV/0!</v>
      </c>
      <c r="H148" s="128">
        <f>ROUND(H147,1)/ROUND(H14,1)*1000</f>
        <v>91.10795050490684</v>
      </c>
      <c r="I148" s="68" t="s">
        <v>203</v>
      </c>
      <c r="J148" s="128">
        <f>ROUND(J147,1)/ROUND(J14,1)*1000</f>
        <v>89.83643862892903</v>
      </c>
      <c r="K148" s="68" t="s">
        <v>204</v>
      </c>
      <c r="L148" s="55">
        <f t="shared" si="24"/>
        <v>0.9300880931951506</v>
      </c>
      <c r="M148" s="128">
        <f>ROUND(M147,1)/ROUND(M14,1)*1000</f>
        <v>91.59152325416015</v>
      </c>
      <c r="N148" s="128">
        <f>ROUND(N147,1)/ROUND(N14,1)*1000</f>
        <v>93.46038970274498</v>
      </c>
      <c r="O148" s="128">
        <f>ROUND(O147,1)/ROUND(O14,1)*1000</f>
        <v>89.98435499928887</v>
      </c>
      <c r="P148" s="128">
        <f>ROUND(P147,1)/ROUND(P14,1)*1000</f>
        <v>91.96415872564357</v>
      </c>
    </row>
    <row r="149" spans="1:16" s="61" customFormat="1" ht="64.5" customHeight="1">
      <c r="A149" s="71" t="s">
        <v>234</v>
      </c>
      <c r="B149" s="126" t="str">
        <f>IF($C$31="Да","Тариф (без учета НДС)","Тариф (НДС не облагается)")</f>
        <v>Тариф (НДС не облагается)</v>
      </c>
      <c r="C149" s="127" t="s">
        <v>168</v>
      </c>
      <c r="D149" s="128">
        <f>ROUND(D147,1)/ROUND(D15,1)*1000</f>
        <v>371.75391428119565</v>
      </c>
      <c r="E149" s="128">
        <f>ROUND(E147,1)/ROUND(E15,1)*1000</f>
        <v>490.2900557389853</v>
      </c>
      <c r="F149" s="128">
        <f>ROUND(F147,1)/ROUND(F15,1)*1000</f>
        <v>386.35668722652747</v>
      </c>
      <c r="G149" s="128" t="e">
        <f>ROUND(G147,1)/ROUND(G15,1)*1000</f>
        <v>#DIV/0!</v>
      </c>
      <c r="H149" s="128">
        <f>ROUND(H147,1)/ROUND(H15,1)*1000</f>
        <v>379.0414201183432</v>
      </c>
      <c r="I149" s="68" t="s">
        <v>205</v>
      </c>
      <c r="J149" s="128">
        <f>ROUND(J147,1)/ROUND(J15,1)*1000</f>
        <v>373.7514792899408</v>
      </c>
      <c r="K149" s="68" t="s">
        <v>206</v>
      </c>
      <c r="L149" s="55">
        <f t="shared" si="24"/>
        <v>0.9673741691205774</v>
      </c>
      <c r="M149" s="128">
        <f>ROUND(M147,1)/ROUND(M15,1)*1000</f>
        <v>381.05325443786984</v>
      </c>
      <c r="N149" s="128">
        <f>ROUND(N147,1)/ROUND(N15,1)*1000</f>
        <v>388.8284023668639</v>
      </c>
      <c r="O149" s="128">
        <f>ROUND(O147,1)/ROUND(O15,1)*1000</f>
        <v>374.3668639053255</v>
      </c>
      <c r="P149" s="128">
        <f>ROUND(P147,1)/ROUND(P15,1)*1000</f>
        <v>382.603550295858</v>
      </c>
    </row>
    <row r="150" spans="1:16" s="39" customFormat="1" ht="15" customHeight="1">
      <c r="A150" s="71"/>
      <c r="B150" s="129" t="s">
        <v>9</v>
      </c>
      <c r="C150" s="71" t="s">
        <v>2</v>
      </c>
      <c r="D150" s="71"/>
      <c r="E150" s="71"/>
      <c r="F150" s="97">
        <f>F148/D148</f>
        <v>1.0392807510139255</v>
      </c>
      <c r="G150" s="71"/>
      <c r="H150" s="97">
        <f>H148/F148</f>
        <v>0.9432522176222999</v>
      </c>
      <c r="I150" s="130"/>
      <c r="J150" s="97">
        <f>J148/F148</f>
        <v>0.9300880931951506</v>
      </c>
      <c r="K150" s="130"/>
      <c r="L150" s="131"/>
      <c r="M150" s="97">
        <f>M148/J148</f>
        <v>1.019536444810335</v>
      </c>
      <c r="N150" s="97">
        <f>N148/M148</f>
        <v>1.0204043603838626</v>
      </c>
      <c r="O150" s="97">
        <f>O148/N148</f>
        <v>0.9628074019965913</v>
      </c>
      <c r="P150" s="97">
        <f>P148/O148</f>
        <v>1.0220016438009736</v>
      </c>
    </row>
    <row r="151" spans="9:12" s="39" customFormat="1" ht="15.75">
      <c r="I151" s="132"/>
      <c r="K151" s="132"/>
      <c r="L151" s="132"/>
    </row>
    <row r="152" spans="9:12" s="39" customFormat="1" ht="15.75">
      <c r="I152" s="132"/>
      <c r="K152" s="132"/>
      <c r="L152" s="132"/>
    </row>
    <row r="153" spans="9:12" s="39" customFormat="1" ht="15.75">
      <c r="I153" s="132"/>
      <c r="K153" s="132"/>
      <c r="L153" s="132"/>
    </row>
    <row r="154" spans="1:12" s="39" customFormat="1" ht="15.75">
      <c r="A154" s="39" t="s">
        <v>106</v>
      </c>
      <c r="D154" s="133"/>
      <c r="I154" s="134" t="s">
        <v>272</v>
      </c>
      <c r="J154" s="134"/>
      <c r="K154" s="132"/>
      <c r="L154" s="132"/>
    </row>
    <row r="155" spans="9:12" s="39" customFormat="1" ht="15.75">
      <c r="I155" s="132"/>
      <c r="K155" s="132"/>
      <c r="L155" s="132"/>
    </row>
  </sheetData>
  <sheetProtection formatCells="0" formatColumns="0" formatRows="0" insertColumns="0" insertRows="0" insertHyperlinks="0" deleteColumns="0" deleteRows="0" sort="0" autoFilter="0" pivotTables="0"/>
  <mergeCells count="30">
    <mergeCell ref="A24:A25"/>
    <mergeCell ref="B22:B23"/>
    <mergeCell ref="B24:B25"/>
    <mergeCell ref="M9:P9"/>
    <mergeCell ref="I154:J154"/>
    <mergeCell ref="A9:A11"/>
    <mergeCell ref="L9:L11"/>
    <mergeCell ref="F9:G9"/>
    <mergeCell ref="B17:B18"/>
    <mergeCell ref="A19:A20"/>
    <mergeCell ref="K9:K11"/>
    <mergeCell ref="K36:K37"/>
    <mergeCell ref="A26:A27"/>
    <mergeCell ref="B26:B27"/>
    <mergeCell ref="C6:K6"/>
    <mergeCell ref="C7:K7"/>
    <mergeCell ref="D9:E9"/>
    <mergeCell ref="A17:A18"/>
    <mergeCell ref="A22:A23"/>
    <mergeCell ref="B19:B20"/>
    <mergeCell ref="B14:B15"/>
    <mergeCell ref="C4:K4"/>
    <mergeCell ref="C3:K3"/>
    <mergeCell ref="A14:A16"/>
    <mergeCell ref="D10:E10"/>
    <mergeCell ref="F10:G10"/>
    <mergeCell ref="C5:K5"/>
    <mergeCell ref="B9:B11"/>
    <mergeCell ref="C9:C11"/>
    <mergeCell ref="I9:I11"/>
  </mergeCells>
  <dataValidations count="2">
    <dataValidation type="list" allowBlank="1" showInputMessage="1" showErrorMessage="1" sqref="C31">
      <formula1>"Да, Нет"</formula1>
    </dataValidation>
    <dataValidation type="list" allowBlank="1" showInputMessage="1" showErrorMessage="1" sqref="C4:K4">
      <formula1>"захоронение твердых коммунальных отходов (ТКО), обработку твердых коммунальных отходов (ТКО), обезвреживание твердых коммунальных отходов (ТКО)"</formula1>
    </dataValidation>
  </dataValidations>
  <printOptions/>
  <pageMargins left="0.1968503937007874" right="0.1968503937007874" top="0.7480314960629921" bottom="0.15748031496062992" header="0.31496062992125984" footer="0.31496062992125984"/>
  <pageSetup fitToHeight="0" fitToWidth="1" horizontalDpi="600" verticalDpi="600" orientation="landscape" paperSize="9" scale="51" r:id="rId3"/>
  <rowBreaks count="1" manualBreakCount="1">
    <brk id="53" max="15" man="1"/>
  </rowBreaks>
  <colBreaks count="1" manualBreakCount="1">
    <brk id="16" max="15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29"/>
  <sheetViews>
    <sheetView view="pageBreakPreview" zoomScaleSheetLayoutView="100" zoomScalePageLayoutView="0" workbookViewId="0" topLeftCell="A7">
      <selection activeCell="H16" sqref="H16"/>
    </sheetView>
  </sheetViews>
  <sheetFormatPr defaultColWidth="9.00390625" defaultRowHeight="12.75"/>
  <cols>
    <col min="1" max="1" width="20.75390625" style="0" customWidth="1"/>
    <col min="3" max="4" width="13.75390625" style="0" customWidth="1"/>
    <col min="5" max="5" width="18.00390625" style="0" customWidth="1"/>
  </cols>
  <sheetData>
    <row r="1" s="9" customFormat="1" ht="15"/>
    <row r="2" s="9" customFormat="1" ht="15"/>
    <row r="3" s="9" customFormat="1" ht="15"/>
    <row r="4" s="9" customFormat="1" ht="15"/>
    <row r="5" s="9" customFormat="1" ht="15"/>
    <row r="10" spans="1:5" s="9" customFormat="1" ht="15.75">
      <c r="A10" s="27" t="s">
        <v>209</v>
      </c>
      <c r="B10" s="27"/>
      <c r="C10" s="27"/>
      <c r="D10" s="27"/>
      <c r="E10" s="27"/>
    </row>
    <row r="11" spans="1:5" s="9" customFormat="1" ht="15.75">
      <c r="A11" s="28" t="s">
        <v>172</v>
      </c>
      <c r="B11" s="28"/>
      <c r="C11" s="28"/>
      <c r="D11" s="28"/>
      <c r="E11" s="28"/>
    </row>
    <row r="12" spans="1:5" s="9" customFormat="1" ht="15.75">
      <c r="A12" s="28" t="s">
        <v>224</v>
      </c>
      <c r="B12" s="28"/>
      <c r="C12" s="28"/>
      <c r="D12" s="28"/>
      <c r="E12" s="28"/>
    </row>
    <row r="15" spans="1:5" ht="51" customHeight="1">
      <c r="A15" s="29" t="s">
        <v>210</v>
      </c>
      <c r="B15" s="30" t="s">
        <v>108</v>
      </c>
      <c r="C15" s="30" t="s">
        <v>109</v>
      </c>
      <c r="D15" s="30" t="s">
        <v>110</v>
      </c>
      <c r="E15" s="24" t="s">
        <v>147</v>
      </c>
    </row>
    <row r="16" spans="1:5" ht="45.75" customHeight="1">
      <c r="A16" s="29"/>
      <c r="B16" s="30"/>
      <c r="C16" s="30"/>
      <c r="D16" s="30"/>
      <c r="E16" s="26"/>
    </row>
    <row r="17" spans="1:5" ht="20.25" customHeight="1">
      <c r="A17" s="29"/>
      <c r="B17" s="30"/>
      <c r="C17" s="10" t="s">
        <v>5</v>
      </c>
      <c r="D17" s="10" t="s">
        <v>2</v>
      </c>
      <c r="E17" s="10"/>
    </row>
    <row r="18" spans="1:5" ht="13.5" customHeight="1">
      <c r="A18" s="24"/>
      <c r="B18" s="18">
        <v>2021</v>
      </c>
      <c r="C18" s="11">
        <f>ТКО!J33</f>
        <v>1937.6</v>
      </c>
      <c r="D18" s="10" t="s">
        <v>111</v>
      </c>
      <c r="E18" s="12"/>
    </row>
    <row r="19" spans="1:5" ht="12.75">
      <c r="A19" s="25"/>
      <c r="B19" s="18">
        <v>2022</v>
      </c>
      <c r="C19" s="10" t="s">
        <v>16</v>
      </c>
      <c r="D19" s="10" t="s">
        <v>111</v>
      </c>
      <c r="E19" s="12"/>
    </row>
    <row r="20" spans="1:5" ht="12.75">
      <c r="A20" s="25"/>
      <c r="B20" s="18">
        <v>2023</v>
      </c>
      <c r="C20" s="10" t="s">
        <v>16</v>
      </c>
      <c r="D20" s="10" t="s">
        <v>111</v>
      </c>
      <c r="E20" s="12"/>
    </row>
    <row r="21" spans="1:5" ht="12.75">
      <c r="A21" s="25"/>
      <c r="B21" s="18">
        <v>2024</v>
      </c>
      <c r="C21" s="10" t="s">
        <v>16</v>
      </c>
      <c r="D21" s="12">
        <v>1</v>
      </c>
      <c r="E21" s="19"/>
    </row>
    <row r="22" spans="1:5" ht="12.75">
      <c r="A22" s="26"/>
      <c r="B22" s="18">
        <v>2025</v>
      </c>
      <c r="C22" s="10" t="s">
        <v>16</v>
      </c>
      <c r="D22" s="12">
        <v>1</v>
      </c>
      <c r="E22" s="19"/>
    </row>
    <row r="28" ht="15.75">
      <c r="A28" s="13"/>
    </row>
    <row r="29" spans="1:5" ht="15.75">
      <c r="A29" s="13"/>
      <c r="E29" s="14"/>
    </row>
  </sheetData>
  <sheetProtection/>
  <mergeCells count="9">
    <mergeCell ref="A18:A22"/>
    <mergeCell ref="A10:E10"/>
    <mergeCell ref="A11:E11"/>
    <mergeCell ref="A12:E12"/>
    <mergeCell ref="A15:A17"/>
    <mergeCell ref="B15:B17"/>
    <mergeCell ref="C15:C16"/>
    <mergeCell ref="D15:D16"/>
    <mergeCell ref="E15:E16"/>
  </mergeCells>
  <dataValidations count="1">
    <dataValidation type="list" allowBlank="1" showInputMessage="1" showErrorMessage="1" sqref="A11:E11">
      <formula1>"захоронение твердых коммунальных отходов,обработку твердых коммунальных отходов, обезвреживание твердых коммунальных отходов"</formula1>
    </dataValidation>
  </dataValidation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2020-10-29T03:23:33Z</cp:lastPrinted>
  <dcterms:created xsi:type="dcterms:W3CDTF">2013-04-08T06:55:43Z</dcterms:created>
  <dcterms:modified xsi:type="dcterms:W3CDTF">2020-10-29T03:30:43Z</dcterms:modified>
  <cp:category/>
  <cp:version/>
  <cp:contentType/>
  <cp:contentStatus/>
</cp:coreProperties>
</file>