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600" windowHeight="11520" tabRatio="560" activeTab="0"/>
  </bookViews>
  <sheets>
    <sheet name="ТКО" sheetId="1" r:id="rId1"/>
    <sheet name="тко для работы" sheetId="2" r:id="rId2"/>
  </sheets>
  <definedNames>
    <definedName name="_xlfn.IFERROR" hidden="1">#NAME?</definedName>
    <definedName name="_xlnm.Print_Titles" localSheetId="0">'ТКО'!$9:$11</definedName>
    <definedName name="_xlnm.Print_Area" localSheetId="0">'ТКО'!$A$1:$O$150</definedName>
  </definedNames>
  <calcPr fullCalcOnLoad="1"/>
</workbook>
</file>

<file path=xl/comments1.xml><?xml version="1.0" encoding="utf-8"?>
<comments xmlns="http://schemas.openxmlformats.org/spreadsheetml/2006/main">
  <authors>
    <author>Татьяна А. Куграшова</author>
  </authors>
  <commentList>
    <comment ref="D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  <comment ref="F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</commentList>
</comments>
</file>

<file path=xl/comments2.xml><?xml version="1.0" encoding="utf-8"?>
<comments xmlns="http://schemas.openxmlformats.org/spreadsheetml/2006/main">
  <authors>
    <author>Татьяна А. Куграшова</author>
  </authors>
  <commentList>
    <comment ref="D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  <comment ref="F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</commentList>
</comments>
</file>

<file path=xl/sharedStrings.xml><?xml version="1.0" encoding="utf-8"?>
<sst xmlns="http://schemas.openxmlformats.org/spreadsheetml/2006/main" count="879" uniqueCount="250">
  <si>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</si>
  <si>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</si>
  <si>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</si>
  <si>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</si>
  <si>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</si>
  <si>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</si>
  <si>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</si>
  <si>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индекс потребительских цен</t>
  </si>
  <si>
    <t>Нормативная прибыль</t>
  </si>
  <si>
    <t>Темп роста тарифа</t>
  </si>
  <si>
    <t>руб./куб. м</t>
  </si>
  <si>
    <t>Транспортный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</si>
  <si>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</si>
  <si>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</si>
  <si>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</si>
  <si>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Неподконтрольные расходы</t>
  </si>
  <si>
    <t>-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</si>
  <si>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</si>
  <si>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</si>
  <si>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</si>
  <si>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индекс эффективности операционных расходов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</si>
  <si>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</si>
  <si>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</si>
  <si>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</si>
  <si>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</si>
  <si>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информационные услуги</t>
  </si>
  <si>
    <t>Служебные командировки</t>
  </si>
  <si>
    <t>Обучение персонала</t>
  </si>
  <si>
    <t>руб./ кВт-ч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</si>
  <si>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</si>
  <si>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</si>
  <si>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</si>
  <si>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</si>
  <si>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</si>
  <si>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</si>
  <si>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</si>
  <si>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</si>
  <si>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</si>
  <si>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</si>
  <si>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</si>
  <si>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</si>
  <si>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1.</t>
  </si>
  <si>
    <t>2.</t>
  </si>
  <si>
    <t>3.</t>
  </si>
  <si>
    <t>4.</t>
  </si>
  <si>
    <t>5.</t>
  </si>
  <si>
    <t>6.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</si>
  <si>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</si>
  <si>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</si>
  <si>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</si>
  <si>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</si>
  <si>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</si>
  <si>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</si>
  <si>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объем тепловой энергии</t>
  </si>
  <si>
    <t>тариф на тепловую энергию</t>
  </si>
  <si>
    <t>руб./Гкал</t>
  </si>
  <si>
    <t>объем горячей воды</t>
  </si>
  <si>
    <t>тариф на горячую воду</t>
  </si>
  <si>
    <t>объем услуги водоотведение</t>
  </si>
  <si>
    <t>тариф на водоотведение</t>
  </si>
  <si>
    <t>Единый налог, уплачиваемый организацией, применяющей упрощенную систему налогообложения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</si>
  <si>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</si>
  <si>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</si>
  <si>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</si>
  <si>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</si>
  <si>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</si>
  <si>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</si>
  <si>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</si>
  <si>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</si>
  <si>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</si>
  <si>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</si>
  <si>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</si>
  <si>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</si>
  <si>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</si>
  <si>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</si>
  <si>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</si>
  <si>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</si>
  <si>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</si>
  <si>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</si>
  <si>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</si>
  <si>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</si>
  <si>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1.1.1.5.</t>
  </si>
  <si>
    <t>Общехозяйственные расходы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</si>
  <si>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</si>
  <si>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</si>
  <si>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</si>
  <si>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</si>
  <si>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</si>
  <si>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</si>
  <si>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</si>
  <si>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</si>
  <si>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</si>
  <si>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</si>
  <si>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</si>
  <si>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Производственные расходы</t>
  </si>
  <si>
    <t>1.2.1.</t>
  </si>
  <si>
    <t>1.2.2.</t>
  </si>
  <si>
    <t>1.2.3.</t>
  </si>
  <si>
    <t>1.3.1.</t>
  </si>
  <si>
    <t>1.3.2.</t>
  </si>
  <si>
    <t>1.3.3.</t>
  </si>
  <si>
    <t>3.1.</t>
  </si>
  <si>
    <t>3.2.</t>
  </si>
  <si>
    <t>3.3.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</si>
  <si>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</si>
  <si>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</si>
  <si>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</si>
  <si>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Ф.И.О.</t>
  </si>
  <si>
    <t>Рост по отношению к базовому периоду, %</t>
  </si>
  <si>
    <t>1.2.4.</t>
  </si>
  <si>
    <t>Сбытовые расходы</t>
  </si>
  <si>
    <t>1.2.5.</t>
  </si>
  <si>
    <t>1.2.6.</t>
  </si>
  <si>
    <t>1.2.7.</t>
  </si>
  <si>
    <t>1.2.2.1.</t>
  </si>
  <si>
    <t>1.2.2.2.</t>
  </si>
  <si>
    <t>1.2.2.3.</t>
  </si>
  <si>
    <t>1.2.2.4.</t>
  </si>
  <si>
    <t>1.2.2.5.</t>
  </si>
  <si>
    <t>1.2.2.6.</t>
  </si>
  <si>
    <t>Прочие налоги и сборы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</si>
  <si>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</si>
  <si>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</si>
  <si>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</si>
  <si>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</si>
  <si>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</si>
  <si>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</si>
  <si>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Мощность:</t>
  </si>
  <si>
    <t>ГН</t>
  </si>
  <si>
    <t>Ставка за мощность:</t>
  </si>
  <si>
    <t>Расходы на природный газ</t>
  </si>
  <si>
    <t>1.3.4.</t>
  </si>
  <si>
    <t>1.3.5.</t>
  </si>
  <si>
    <t>1.3.6.</t>
  </si>
  <si>
    <t>1.3.7.</t>
  </si>
  <si>
    <t>1.3.8.</t>
  </si>
  <si>
    <t>тыс. Гкал</t>
  </si>
  <si>
    <t>тыс. куб.м</t>
  </si>
  <si>
    <t>тыс. кВт-ч</t>
  </si>
  <si>
    <t>МВт</t>
  </si>
  <si>
    <t>руб./ МВт</t>
  </si>
  <si>
    <t>Расходы на покупку электрической мощности:</t>
  </si>
  <si>
    <t>Расходы на покупку электрической энергии:</t>
  </si>
  <si>
    <t>Расходы на тепловую энергию:</t>
  </si>
  <si>
    <t>Расходы на горячую воду:</t>
  </si>
  <si>
    <t>Расходы на водоотведение:</t>
  </si>
  <si>
    <t>Расходы на холодную воду:</t>
  </si>
  <si>
    <t>Прочие административные расходы</t>
  </si>
  <si>
    <t>Административные расходы:</t>
  </si>
  <si>
    <t>ожид</t>
  </si>
  <si>
    <t>тонн</t>
  </si>
  <si>
    <t>в пределах норматива по накоплению</t>
  </si>
  <si>
    <t>сверх норматива по накоплению</t>
  </si>
  <si>
    <t>Расчет объема (массы) твердых коммунальных отходов:</t>
  </si>
  <si>
    <t>Расчетный объем (масса) твердых коммунальных отходов:</t>
  </si>
  <si>
    <t>По видам твердых коммунальных отходов:</t>
  </si>
  <si>
    <t>2.1.</t>
  </si>
  <si>
    <t>2.2.</t>
  </si>
  <si>
    <t>сортированные</t>
  </si>
  <si>
    <t>несортированные</t>
  </si>
  <si>
    <t>крупногабаритные отходы</t>
  </si>
  <si>
    <t>Темп изменения образования твердых коммунальных отходов</t>
  </si>
  <si>
    <t>Средняя плотность твердых коммунальных отходов</t>
  </si>
  <si>
    <t>тонн/куб. м</t>
  </si>
  <si>
    <t xml:space="preserve">Расходы на амортизацию основных средств и нематериальных активов
</t>
  </si>
  <si>
    <t>Расчетная предпринимательская прибыль</t>
  </si>
  <si>
    <t>руб./тонну</t>
  </si>
  <si>
    <t>Операционные (подконтрольные) расходы</t>
  </si>
  <si>
    <t>Расходы на приобретение (производство) энергетических ресурсов</t>
  </si>
  <si>
    <t>захоронение твердых коммунальных отходов</t>
  </si>
  <si>
    <t>Расходы на оплату выполняемых сторонними организациями или индивидуальными предпринимателями работ и (или) услуг, связанных с эксплуатацией объектов, используемых для обработки, обезвреживания, захоронения твердых коммунальных отходов</t>
  </si>
  <si>
    <t>Расходы на текущий ремонт объектов, используемых для обработки, обезвреживания, захоронения твердых коммунальных отходов</t>
  </si>
  <si>
    <t>Расходы на капитальный ремонт объектов, используемых для обработки, обезвреживания, захоронения твердых коммунальных отходов</t>
  </si>
  <si>
    <t>Расходы на амортизацию непроизводственных активов</t>
  </si>
  <si>
    <t>Расходы на оплату товаров, работ и (или) услуг, поставляемых и (или) выполняемых по договорам сторонними организациями или индивидуальными предпринимателями:</t>
  </si>
  <si>
    <t>услуги вневедомственной охраны</t>
  </si>
  <si>
    <t>другие</t>
  </si>
  <si>
    <t>1.1.3.4.</t>
  </si>
  <si>
    <t>1.1.3.5.</t>
  </si>
  <si>
    <t>1.1.3.6.</t>
  </si>
  <si>
    <t>1.1.3.7.</t>
  </si>
  <si>
    <t>1.1.3.8.</t>
  </si>
  <si>
    <t>1.1.3.9.</t>
  </si>
  <si>
    <t>сырье и материалы</t>
  </si>
  <si>
    <t>горюче-смазочные материалы</t>
  </si>
  <si>
    <t>материалы и малоценные основные средства</t>
  </si>
  <si>
    <t>Расходы на приобретение сырья и материалов и их хранение:</t>
  </si>
  <si>
    <t>Ремонтные расходы:</t>
  </si>
  <si>
    <t>1.2.2.7.</t>
  </si>
  <si>
    <t>Расходы на обязательное страхование, предусмотренные законодательными актами РФ</t>
  </si>
  <si>
    <t>Расходы на уплату налогов, сборов и других обязательных платежей:</t>
  </si>
  <si>
    <t>Арендная плата, лизинговые платежи, не связанные с арендой (лизингом) объектов, используемых для обработки, обезвреживания, захоронения твердых коммунальных отходов</t>
  </si>
  <si>
    <t>Расходы на арендную плату, концессионную плату и лизинговые платежи в отношении объектов, используемых для обработки, обезвреживания, захоронения твердых коммунальных отходов</t>
  </si>
  <si>
    <t>Расходы на выплаты по договорам займа и кредитным договорам, включая возврат сумм основного долга и процентов по ним</t>
  </si>
  <si>
    <t>Расходы на плату за негативное воздействие на окружающую среду при размещении твердых коммунальных отходов</t>
  </si>
  <si>
    <t>Расходы на оплату товаров, работ и услуг других операторов по обращению с твердыми коммунальными отходами</t>
  </si>
  <si>
    <t>Расходы на иные виды топлива</t>
  </si>
  <si>
    <t>Величина изменения необходимой валовой выручки, производимого в целях сглаживания тарифов</t>
  </si>
  <si>
    <t>Величина, учитывающая результаты деятельности регулируемой организации до перехода к регулированию цен (тарифов) на основе долгосрочных параметров регулирования</t>
  </si>
  <si>
    <t>Обоснование причин и ссылки на правовые нормы, на основании которых органом регулирования проведен расчет объема (массы) твердых коммунальных отходов,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</si>
  <si>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Представлено оператором по обращению с твердыми коммунальными отходами в качестве обоснования</t>
  </si>
  <si>
    <t>Определен исходя из заявленной необходимой валовой выручки и объема твердых коммунальных отходов.</t>
  </si>
  <si>
    <t>Определен исходя из принятой необходимой валовой выручки и объема твердых коммунальных отходов.</t>
  </si>
  <si>
    <t>Определен исходя из заявленной необходимой валовой выручки и массы твердых коммунальных отходов.</t>
  </si>
  <si>
    <t>Определен исходя из принятой необходимой валовой выручки и массы твердых коммунальных отходов.</t>
  </si>
  <si>
    <t>(наименование оператора по обращению с твердыми коммунальными отходами)</t>
  </si>
  <si>
    <t>Расходы на обязательное страхование производственных объектов в случаях, предусмотренных законодательством РФ, страхование ответственности концессионера, частного партнера, в случаях, предусмотренных соответствующими соглашениями, а также расходов на страхование рисков гибели объектов, создаваемых по таким соглашениям</t>
  </si>
  <si>
    <t>Расчет тарифа методом индексации (корректировка) на</t>
  </si>
  <si>
    <t>на 2019 год</t>
  </si>
  <si>
    <t>8.</t>
  </si>
  <si>
    <t>9.</t>
  </si>
  <si>
    <t>Прочие производственные расходы, непосредственно связанные с эксплуатацией объектов, используемых для обработки, обезвреживания, захоронения твердых коммунальных отходов</t>
  </si>
  <si>
    <t>2017 год</t>
  </si>
  <si>
    <t>2018 год</t>
  </si>
  <si>
    <t>2019 год</t>
  </si>
  <si>
    <t>Заявлено оператором по обращению с твердыми коммунальными отходами</t>
  </si>
  <si>
    <t>Учтено органом регулирования</t>
  </si>
  <si>
    <t>Согласно базовому сценарию Прогноза социально-экономического развития РФ, разработанному Минэкономразвития России в июне 2018 года.</t>
  </si>
  <si>
    <t>Определены в соответствии с п. 47 Основ ценообразования, п. 45 Методических указаний путем индексации установленного базового уровня операционных расходов.</t>
  </si>
  <si>
    <t>Долгосрочный параметр регулирования в соответствии с п. 56 Основ ценообразования.</t>
  </si>
  <si>
    <t>Проверка (п.3 = п.2)</t>
  </si>
  <si>
    <t>Проверка (p=m/V)</t>
  </si>
  <si>
    <t>Нет</t>
  </si>
  <si>
    <t xml:space="preserve"> </t>
  </si>
  <si>
    <t>пока на уровне</t>
  </si>
  <si>
    <t>676,8/744,480               +3,16% индексац</t>
  </si>
  <si>
    <t>к 2018</t>
  </si>
  <si>
    <t>к 2019</t>
  </si>
  <si>
    <t>Утверждено органом на 2019 год</t>
  </si>
  <si>
    <t>ООО "Наш город"</t>
  </si>
  <si>
    <t>А.Е.Золотуева</t>
  </si>
  <si>
    <r>
      <rPr>
        <sz val="12"/>
        <rFont val="Times New Roman"/>
        <family val="1"/>
      </rPr>
      <t>Расчет тарифа методом индексации</t>
    </r>
    <r>
      <rPr>
        <b/>
        <sz val="12"/>
        <rFont val="Times New Roman"/>
        <family val="1"/>
      </rPr>
      <t xml:space="preserve"> (корректировка) на</t>
    </r>
  </si>
  <si>
    <t>Обосновывающие материалы представленны ранее при установлении тарифа</t>
  </si>
  <si>
    <r>
      <rPr>
        <sz val="11"/>
        <rFont val="Times New Roman"/>
        <family val="1"/>
      </rPr>
      <t>Обоснование представлено ранее при установлении тарифаЮ показатели не изменились</t>
    </r>
    <r>
      <rPr>
        <sz val="14"/>
        <rFont val="Times New Roman"/>
        <family val="1"/>
      </rPr>
      <t xml:space="preserve">
 </t>
    </r>
  </si>
  <si>
    <t xml:space="preserve">Обосновывающие материалы представленны ранее при установлении тарифа </t>
  </si>
  <si>
    <t>Обоснование представлено ранее при установлении тарифаЮ показатели не изменились</t>
  </si>
  <si>
    <t>Обоснование представлено ранее при установлении тарифа, показатели не изменились</t>
  </si>
  <si>
    <t>см. выше</t>
  </si>
  <si>
    <t xml:space="preserve">При формировании тарифа на 2018-2020 г.г. затраты по з/п расчитывались исходя из 421-ФЗ от 28.12.2017 г. МРОТ с 01.01.2018 в сумме 9489р. Представлен приказ МинТруда от 24.08.2018 №550-н, где прожиточный минимум за 2 квартал 2018 года равен 11280р. </t>
  </si>
  <si>
    <t>В соответствии с действующей редакцией Федерального закона  №421-ФЗ о МРОТ</t>
  </si>
  <si>
    <t xml:space="preserve">На основании ст.425 Налогового Кодекса РФ и Федерального закона от 03.08.2018г. №303-ФЗ, с 01.01.2019 г. размер страховых взносов составит 30%. При расчете тарифа предприятие учитывало размер страховых взносов 20,3%.  </t>
  </si>
  <si>
    <t>см.ниже</t>
  </si>
  <si>
    <t>см.выше</t>
  </si>
  <si>
    <t xml:space="preserve">не представлены подтверждающие материалы к расчету общехозяйственных расходов. </t>
  </si>
  <si>
    <t>Предоставлен расчет общехозяйственных расходов, рост показателя связан с ростом отчислений от заработной платы.</t>
  </si>
  <si>
    <t>Представлено постановление правительства РФ от 29.06.2018г. №758 где утверждена плата за негативное воздействие на окружающую среду при размещении ТКО 4 класса составит за 1 тону - 2018 г. 95р., 2019 г. 194,5р, 2020г. 293,9р, Письмо Росприроднадзора от 29.03.2016 №АА-06-01-36/5099</t>
  </si>
  <si>
    <t>предприятием не представлены подтверждающие материалы по фактически понесеным расходам</t>
  </si>
  <si>
    <t>Представлен расчет платы за негативное воздействие на окружающую среду за 2018 г.</t>
  </si>
  <si>
    <t>Приложение №1 к Протоколу №8 от 29.11.2018</t>
  </si>
  <si>
    <t>А.А.Юрочкин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</si>
</sst>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_-* #,##0.0_р_._-;\-* #,##0.0_р_._-;_-* &quot;-&quot;??_р_._-;_-@_-"/>
    <numFmt numFmtId="177" formatCode="_-* #,##0.000_р_._-;\-* #,##0.000_р_._-;_-* &quot;-&quot;??_р_._-;_-@_-"/>
    <numFmt numFmtId="178" formatCode="#,##0.000_ ;\-#,##0.000\ "/>
    <numFmt numFmtId="179" formatCode="#,##0.00_ ;\-#,##0.00\ "/>
    <numFmt numFmtId="180" formatCode="#,##0.0_ ;\-#,##0.0\ "/>
    <numFmt numFmtId="181" formatCode="0.000%"/>
    <numFmt numFmtId="182" formatCode="#,##0_ ;\-#,##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9"/>
      <name val="Tahoma"/>
      <family val="2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2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4" fillId="13" borderId="11" xfId="0" applyFont="1" applyFill="1" applyBorder="1" applyAlignment="1" applyProtection="1">
      <alignment horizontal="center" vertical="center"/>
      <protection/>
    </xf>
    <xf numFmtId="180" fontId="4" fillId="13" borderId="11" xfId="61" applyNumberFormat="1" applyFont="1" applyFill="1" applyBorder="1" applyAlignment="1" applyProtection="1">
      <alignment horizontal="center" vertical="center"/>
      <protection/>
    </xf>
    <xf numFmtId="180" fontId="4" fillId="0" borderId="11" xfId="61" applyNumberFormat="1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0" fontId="4" fillId="7" borderId="11" xfId="0" applyFont="1" applyFill="1" applyBorder="1" applyAlignment="1" applyProtection="1">
      <alignment horizontal="center" vertical="center"/>
      <protection/>
    </xf>
    <xf numFmtId="173" fontId="4" fillId="7" borderId="11" xfId="58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80" fontId="4" fillId="0" borderId="11" xfId="6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13" borderId="11" xfId="0" applyFont="1" applyFill="1" applyBorder="1" applyAlignment="1" applyProtection="1">
      <alignment horizontal="center" vertical="center"/>
      <protection locked="0"/>
    </xf>
    <xf numFmtId="0" fontId="4" fillId="13" borderId="11" xfId="0" applyFont="1" applyFill="1" applyBorder="1" applyAlignment="1" applyProtection="1">
      <alignment horizontal="left" vertical="center"/>
      <protection locked="0"/>
    </xf>
    <xf numFmtId="180" fontId="4" fillId="13" borderId="14" xfId="61" applyNumberFormat="1" applyFont="1" applyFill="1" applyBorder="1" applyAlignment="1" applyProtection="1">
      <alignment horizontal="center" vertical="center"/>
      <protection/>
    </xf>
    <xf numFmtId="180" fontId="4" fillId="0" borderId="14" xfId="61" applyNumberFormat="1" applyFont="1" applyFill="1" applyBorder="1" applyAlignment="1" applyProtection="1">
      <alignment horizontal="left" vertical="top" wrapText="1"/>
      <protection locked="0"/>
    </xf>
    <xf numFmtId="16" fontId="4" fillId="13" borderId="11" xfId="0" applyNumberFormat="1" applyFont="1" applyFill="1" applyBorder="1" applyAlignment="1" applyProtection="1">
      <alignment horizontal="center" vertical="center"/>
      <protection locked="0"/>
    </xf>
    <xf numFmtId="0" fontId="4" fillId="13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indent="2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172" fontId="4" fillId="0" borderId="11" xfId="58" applyNumberFormat="1" applyFont="1" applyFill="1" applyBorder="1" applyAlignment="1" applyProtection="1">
      <alignment horizontal="center" vertical="center"/>
      <protection/>
    </xf>
    <xf numFmtId="180" fontId="4" fillId="0" borderId="11" xfId="61" applyNumberFormat="1" applyFont="1" applyFill="1" applyBorder="1" applyAlignment="1" applyProtection="1">
      <alignment horizontal="left" vertical="center"/>
      <protection/>
    </xf>
    <xf numFmtId="180" fontId="4" fillId="7" borderId="11" xfId="61" applyNumberFormat="1" applyFont="1" applyFill="1" applyBorder="1" applyAlignment="1" applyProtection="1">
      <alignment horizontal="center" vertical="center"/>
      <protection/>
    </xf>
    <xf numFmtId="0" fontId="4" fillId="13" borderId="11" xfId="0" applyFont="1" applyFill="1" applyBorder="1" applyAlignment="1" applyProtection="1">
      <alignment horizontal="left" vertical="center" wrapText="1" indent="1"/>
      <protection locked="0"/>
    </xf>
    <xf numFmtId="180" fontId="4" fillId="13" borderId="11" xfId="61" applyNumberFormat="1" applyFont="1" applyFill="1" applyBorder="1" applyAlignment="1" applyProtection="1">
      <alignment horizontal="center" vertical="center"/>
      <protection locked="0"/>
    </xf>
    <xf numFmtId="180" fontId="4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 indent="2"/>
      <protection locked="0"/>
    </xf>
    <xf numFmtId="0" fontId="4" fillId="0" borderId="11" xfId="0" applyFont="1" applyFill="1" applyBorder="1" applyAlignment="1" applyProtection="1">
      <alignment horizontal="lef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3"/>
      <protection locked="0"/>
    </xf>
    <xf numFmtId="14" fontId="4" fillId="1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 wrapText="1" inden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13" borderId="11" xfId="0" applyFont="1" applyFill="1" applyBorder="1" applyAlignment="1" applyProtection="1">
      <alignment horizontal="left" vertical="center"/>
      <protection/>
    </xf>
    <xf numFmtId="0" fontId="6" fillId="13" borderId="11" xfId="0" applyFont="1" applyFill="1" applyBorder="1" applyAlignment="1" applyProtection="1">
      <alignment horizontal="left" vertical="center"/>
      <protection/>
    </xf>
    <xf numFmtId="0" fontId="6" fillId="13" borderId="11" xfId="0" applyFont="1" applyFill="1" applyBorder="1" applyAlignment="1" applyProtection="1">
      <alignment horizontal="center" vertical="center"/>
      <protection/>
    </xf>
    <xf numFmtId="179" fontId="6" fillId="13" borderId="11" xfId="61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10" fontId="4" fillId="0" borderId="11" xfId="0" applyNumberFormat="1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Alignment="1" applyProtection="1">
      <alignment/>
      <protection locked="0"/>
    </xf>
    <xf numFmtId="179" fontId="4" fillId="0" borderId="11" xfId="61" applyNumberFormat="1" applyFont="1" applyFill="1" applyBorder="1" applyAlignment="1" applyProtection="1">
      <alignment horizontal="center" vertical="center"/>
      <protection locked="0"/>
    </xf>
    <xf numFmtId="178" fontId="4" fillId="0" borderId="11" xfId="61" applyNumberFormat="1" applyFont="1" applyFill="1" applyBorder="1" applyAlignment="1" applyProtection="1">
      <alignment horizontal="center" vertical="center"/>
      <protection locked="0"/>
    </xf>
    <xf numFmtId="179" fontId="4" fillId="13" borderId="11" xfId="61" applyNumberFormat="1" applyFont="1" applyFill="1" applyBorder="1" applyAlignment="1" applyProtection="1">
      <alignment horizontal="center" vertical="center"/>
      <protection/>
    </xf>
    <xf numFmtId="178" fontId="4" fillId="13" borderId="11" xfId="61" applyNumberFormat="1" applyFont="1" applyFill="1" applyBorder="1" applyAlignment="1" applyProtection="1">
      <alignment horizontal="center" vertical="center"/>
      <protection/>
    </xf>
    <xf numFmtId="172" fontId="4" fillId="0" borderId="11" xfId="58" applyNumberFormat="1" applyFont="1" applyFill="1" applyBorder="1" applyAlignment="1" applyProtection="1">
      <alignment horizontal="center" vertical="center"/>
      <protection locked="0"/>
    </xf>
    <xf numFmtId="10" fontId="4" fillId="0" borderId="0" xfId="0" applyNumberFormat="1" applyFont="1" applyAlignment="1" applyProtection="1">
      <alignment/>
      <protection locked="0"/>
    </xf>
    <xf numFmtId="178" fontId="4" fillId="0" borderId="11" xfId="61" applyNumberFormat="1" applyFont="1" applyFill="1" applyBorder="1" applyAlignment="1" applyProtection="1">
      <alignment horizontal="center" vertical="center"/>
      <protection/>
    </xf>
    <xf numFmtId="178" fontId="4" fillId="13" borderId="11" xfId="61" applyNumberFormat="1" applyFont="1" applyFill="1" applyBorder="1" applyAlignment="1" applyProtection="1">
      <alignment horizontal="center" vertical="center"/>
      <protection locked="0"/>
    </xf>
    <xf numFmtId="0" fontId="6" fillId="1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172" fontId="10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10" fillId="13" borderId="11" xfId="0" applyFont="1" applyFill="1" applyBorder="1" applyAlignment="1" applyProtection="1">
      <alignment horizontal="center" vertical="center"/>
      <protection/>
    </xf>
    <xf numFmtId="180" fontId="10" fillId="13" borderId="11" xfId="61" applyNumberFormat="1" applyFont="1" applyFill="1" applyBorder="1" applyAlignment="1" applyProtection="1">
      <alignment horizontal="center" vertical="center"/>
      <protection/>
    </xf>
    <xf numFmtId="180" fontId="10" fillId="0" borderId="11" xfId="61" applyNumberFormat="1" applyFont="1" applyFill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Alignment="1" applyProtection="1">
      <alignment vertical="center" wrapText="1"/>
      <protection locked="0"/>
    </xf>
    <xf numFmtId="0" fontId="10" fillId="7" borderId="11" xfId="0" applyFont="1" applyFill="1" applyBorder="1" applyAlignment="1" applyProtection="1">
      <alignment horizontal="center" vertical="center"/>
      <protection/>
    </xf>
    <xf numFmtId="173" fontId="10" fillId="7" borderId="11" xfId="58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80" fontId="10" fillId="0" borderId="11" xfId="61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180" fontId="10" fillId="0" borderId="11" xfId="61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left" vertical="center"/>
      <protection locked="0"/>
    </xf>
    <xf numFmtId="180" fontId="10" fillId="13" borderId="14" xfId="61" applyNumberFormat="1" applyFont="1" applyFill="1" applyBorder="1" applyAlignment="1" applyProtection="1">
      <alignment horizontal="center" vertical="center"/>
      <protection/>
    </xf>
    <xf numFmtId="180" fontId="10" fillId="0" borderId="14" xfId="61" applyNumberFormat="1" applyFont="1" applyFill="1" applyBorder="1" applyAlignment="1" applyProtection="1">
      <alignment horizontal="left" vertical="top" wrapText="1"/>
      <protection locked="0"/>
    </xf>
    <xf numFmtId="16" fontId="10" fillId="13" borderId="11" xfId="0" applyNumberFormat="1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left" vertical="center" wrapText="1"/>
      <protection locked="0"/>
    </xf>
    <xf numFmtId="180" fontId="10" fillId="34" borderId="11" xfId="61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0" fontId="11" fillId="0" borderId="11" xfId="0" applyFont="1" applyFill="1" applyBorder="1" applyAlignment="1" applyProtection="1">
      <alignment horizontal="center" vertical="center"/>
      <protection/>
    </xf>
    <xf numFmtId="172" fontId="10" fillId="0" borderId="11" xfId="58" applyNumberFormat="1" applyFont="1" applyFill="1" applyBorder="1" applyAlignment="1" applyProtection="1">
      <alignment horizontal="center" vertical="center"/>
      <protection/>
    </xf>
    <xf numFmtId="180" fontId="10" fillId="7" borderId="11" xfId="61" applyNumberFormat="1" applyFont="1" applyFill="1" applyBorder="1" applyAlignment="1" applyProtection="1">
      <alignment horizontal="center" vertical="center"/>
      <protection/>
    </xf>
    <xf numFmtId="180" fontId="10" fillId="0" borderId="11" xfId="61" applyNumberFormat="1" applyFont="1" applyFill="1" applyBorder="1" applyAlignment="1" applyProtection="1">
      <alignment horizontal="left" vertical="center"/>
      <protection/>
    </xf>
    <xf numFmtId="0" fontId="10" fillId="13" borderId="11" xfId="0" applyFont="1" applyFill="1" applyBorder="1" applyAlignment="1" applyProtection="1">
      <alignment horizontal="left" vertical="center" wrapText="1" indent="1"/>
      <protection locked="0"/>
    </xf>
    <xf numFmtId="180" fontId="10" fillId="13" borderId="11" xfId="61" applyNumberFormat="1" applyFont="1" applyFill="1" applyBorder="1" applyAlignment="1" applyProtection="1">
      <alignment horizontal="center" vertical="center"/>
      <protection locked="0"/>
    </xf>
    <xf numFmtId="178" fontId="10" fillId="34" borderId="11" xfId="61" applyNumberFormat="1" applyFont="1" applyFill="1" applyBorder="1" applyAlignment="1" applyProtection="1">
      <alignment horizontal="center" vertical="center"/>
      <protection locked="0"/>
    </xf>
    <xf numFmtId="180" fontId="10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 indent="2"/>
      <protection locked="0"/>
    </xf>
    <xf numFmtId="180" fontId="10" fillId="34" borderId="11" xfId="61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wrapText="1" indent="1"/>
      <protection locked="0"/>
    </xf>
    <xf numFmtId="0" fontId="10" fillId="35" borderId="11" xfId="0" applyFont="1" applyFill="1" applyBorder="1" applyAlignment="1" applyProtection="1">
      <alignment horizontal="left" vertical="center" wrapText="1" indent="2"/>
      <protection locked="0"/>
    </xf>
    <xf numFmtId="180" fontId="10" fillId="36" borderId="11" xfId="61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 indent="3"/>
      <protection locked="0"/>
    </xf>
    <xf numFmtId="180" fontId="52" fillId="7" borderId="11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4" fontId="10" fillId="13" borderId="11" xfId="0" applyNumberFormat="1" applyFont="1" applyFill="1" applyBorder="1" applyAlignment="1" applyProtection="1">
      <alignment horizontal="center" vertical="center"/>
      <protection locked="0"/>
    </xf>
    <xf numFmtId="178" fontId="10" fillId="13" borderId="11" xfId="61" applyNumberFormat="1" applyFont="1" applyFill="1" applyBorder="1" applyAlignment="1" applyProtection="1">
      <alignment horizontal="center" vertical="center"/>
      <protection/>
    </xf>
    <xf numFmtId="178" fontId="10" fillId="35" borderId="11" xfId="61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 vertical="center" wrapText="1" indent="1"/>
      <protection locked="0"/>
    </xf>
    <xf numFmtId="179" fontId="10" fillId="34" borderId="11" xfId="61" applyNumberFormat="1" applyFont="1" applyFill="1" applyBorder="1" applyAlignment="1" applyProtection="1">
      <alignment horizontal="center" vertical="center"/>
      <protection/>
    </xf>
    <xf numFmtId="179" fontId="10" fillId="37" borderId="11" xfId="61" applyNumberFormat="1" applyFont="1" applyFill="1" applyBorder="1" applyAlignment="1" applyProtection="1">
      <alignment horizontal="center" vertical="center"/>
      <protection/>
    </xf>
    <xf numFmtId="178" fontId="10" fillId="0" borderId="11" xfId="61" applyNumberFormat="1" applyFont="1" applyFill="1" applyBorder="1" applyAlignment="1" applyProtection="1">
      <alignment horizontal="center" vertical="center"/>
      <protection locked="0"/>
    </xf>
    <xf numFmtId="179" fontId="10" fillId="34" borderId="11" xfId="61" applyNumberFormat="1" applyFont="1" applyFill="1" applyBorder="1" applyAlignment="1" applyProtection="1">
      <alignment horizontal="center" vertical="center"/>
      <protection locked="0"/>
    </xf>
    <xf numFmtId="179" fontId="10" fillId="0" borderId="11" xfId="61" applyNumberFormat="1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178" fontId="10" fillId="37" borderId="11" xfId="61" applyNumberFormat="1" applyFont="1" applyFill="1" applyBorder="1" applyAlignment="1" applyProtection="1">
      <alignment horizontal="center" vertical="center"/>
      <protection/>
    </xf>
    <xf numFmtId="178" fontId="10" fillId="37" borderId="11" xfId="61" applyNumberFormat="1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left" vertical="center"/>
      <protection/>
    </xf>
    <xf numFmtId="179" fontId="10" fillId="13" borderId="11" xfId="61" applyNumberFormat="1" applyFont="1" applyFill="1" applyBorder="1" applyAlignment="1" applyProtection="1">
      <alignment horizontal="center" vertical="center"/>
      <protection/>
    </xf>
    <xf numFmtId="0" fontId="11" fillId="13" borderId="11" xfId="0" applyFont="1" applyFill="1" applyBorder="1" applyAlignment="1" applyProtection="1">
      <alignment horizontal="left" vertical="center"/>
      <protection/>
    </xf>
    <xf numFmtId="0" fontId="11" fillId="13" borderId="11" xfId="0" applyFont="1" applyFill="1" applyBorder="1" applyAlignment="1" applyProtection="1">
      <alignment horizontal="center" vertical="center"/>
      <protection/>
    </xf>
    <xf numFmtId="179" fontId="11" fillId="13" borderId="11" xfId="61" applyNumberFormat="1" applyFont="1" applyFill="1" applyBorder="1" applyAlignment="1" applyProtection="1">
      <alignment horizontal="center" vertical="center"/>
      <protection/>
    </xf>
    <xf numFmtId="179" fontId="11" fillId="34" borderId="11" xfId="61" applyNumberFormat="1" applyFont="1" applyFill="1" applyBorder="1" applyAlignment="1" applyProtection="1">
      <alignment horizontal="center" vertical="center"/>
      <protection/>
    </xf>
    <xf numFmtId="179" fontId="11" fillId="37" borderId="11" xfId="61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172" fontId="10" fillId="0" borderId="11" xfId="58" applyNumberFormat="1" applyFont="1" applyFill="1" applyBorder="1" applyAlignment="1" applyProtection="1">
      <alignment horizontal="center" vertical="center"/>
      <protection locked="0"/>
    </xf>
    <xf numFmtId="10" fontId="10" fillId="0" borderId="11" xfId="0" applyNumberFormat="1" applyFont="1" applyFill="1" applyBorder="1" applyAlignment="1" applyProtection="1">
      <alignment horizontal="left" vertical="top" wrapText="1"/>
      <protection locked="0"/>
    </xf>
    <xf numFmtId="10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80" fontId="4" fillId="34" borderId="11" xfId="61" applyNumberFormat="1" applyFont="1" applyFill="1" applyBorder="1" applyAlignment="1" applyProtection="1">
      <alignment horizontal="center" vertical="center"/>
      <protection locked="0"/>
    </xf>
    <xf numFmtId="18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13" borderId="10" xfId="0" applyFont="1" applyFill="1" applyBorder="1" applyAlignment="1" applyProtection="1">
      <alignment horizontal="left" vertical="center" wrapText="1"/>
      <protection locked="0"/>
    </xf>
    <xf numFmtId="0" fontId="4" fillId="1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/>
      <protection locked="0"/>
    </xf>
    <xf numFmtId="0" fontId="4" fillId="13" borderId="18" xfId="0" applyFont="1" applyFill="1" applyBorder="1" applyAlignment="1" applyProtection="1">
      <alignment horizontal="center" vertical="center"/>
      <protection locked="0"/>
    </xf>
    <xf numFmtId="0" fontId="4" fillId="13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/>
      <protection locked="0"/>
    </xf>
    <xf numFmtId="0" fontId="10" fillId="13" borderId="18" xfId="0" applyFont="1" applyFill="1" applyBorder="1" applyAlignment="1" applyProtection="1">
      <alignment horizontal="center" vertical="center"/>
      <protection locked="0"/>
    </xf>
    <xf numFmtId="0" fontId="10" fillId="13" borderId="14" xfId="0" applyFont="1" applyFill="1" applyBorder="1" applyAlignment="1" applyProtection="1">
      <alignment horizontal="center" vertical="center"/>
      <protection locked="0"/>
    </xf>
    <xf numFmtId="0" fontId="10" fillId="13" borderId="10" xfId="0" applyFont="1" applyFill="1" applyBorder="1" applyAlignment="1" applyProtection="1">
      <alignment horizontal="left" vertical="center" wrapText="1"/>
      <protection locked="0"/>
    </xf>
    <xf numFmtId="0" fontId="10" fillId="13" borderId="14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80" fontId="4" fillId="33" borderId="11" xfId="61" applyNumberFormat="1" applyFont="1" applyFill="1" applyBorder="1" applyAlignment="1" applyProtection="1">
      <alignment horizontal="center" vertical="center"/>
      <protection locked="0"/>
    </xf>
    <xf numFmtId="178" fontId="4" fillId="33" borderId="11" xfId="61" applyNumberFormat="1" applyFont="1" applyFill="1" applyBorder="1" applyAlignment="1" applyProtection="1">
      <alignment horizontal="center" vertical="center"/>
      <protection locked="0"/>
    </xf>
    <xf numFmtId="180" fontId="4" fillId="33" borderId="11" xfId="61" applyNumberFormat="1" applyFont="1" applyFill="1" applyBorder="1" applyAlignment="1" applyProtection="1">
      <alignment horizontal="left" vertical="top" wrapText="1"/>
      <protection locked="0"/>
    </xf>
    <xf numFmtId="179" fontId="4" fillId="33" borderId="11" xfId="6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19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 vertical="center" wrapText="1" indent="2"/>
      <protection locked="0"/>
    </xf>
    <xf numFmtId="180" fontId="4" fillId="33" borderId="11" xfId="61" applyNumberFormat="1" applyFont="1" applyFill="1" applyBorder="1" applyAlignment="1" applyProtection="1">
      <alignment horizontal="center" vertical="center"/>
      <protection/>
    </xf>
    <xf numFmtId="180" fontId="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4" fillId="13" borderId="11" xfId="0" applyFont="1" applyFill="1" applyBorder="1" applyAlignment="1" applyProtection="1">
      <alignment horizontal="left" vertical="center" wrapText="1" indent="2"/>
      <protection locked="0"/>
    </xf>
    <xf numFmtId="180" fontId="4" fillId="13" borderId="11" xfId="61" applyNumberFormat="1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center" wrapText="1" indent="3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="70" zoomScaleNormal="70" zoomScaleSheetLayoutView="70" zoomScalePageLayoutView="0" workbookViewId="0" topLeftCell="A1">
      <pane xSplit="3" ySplit="12" topLeftCell="D10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46" sqref="M46"/>
    </sheetView>
  </sheetViews>
  <sheetFormatPr defaultColWidth="0.875" defaultRowHeight="12.75"/>
  <cols>
    <col min="1" max="1" width="12.00390625" style="1" customWidth="1"/>
    <col min="2" max="2" width="51.375" style="1" customWidth="1"/>
    <col min="3" max="3" width="12.875" style="1" customWidth="1"/>
    <col min="4" max="7" width="14.125" style="1" hidden="1" customWidth="1"/>
    <col min="8" max="9" width="15.00390625" style="1" hidden="1" customWidth="1"/>
    <col min="10" max="10" width="35.75390625" style="2" hidden="1" customWidth="1"/>
    <col min="11" max="11" width="14.375" style="1" hidden="1" customWidth="1"/>
    <col min="12" max="12" width="14.375" style="1" customWidth="1"/>
    <col min="13" max="13" width="35.75390625" style="2" customWidth="1"/>
    <col min="14" max="14" width="12.75390625" style="2" hidden="1" customWidth="1"/>
    <col min="15" max="15" width="12.875" style="1" hidden="1" customWidth="1"/>
    <col min="16" max="16" width="5.875" style="1" customWidth="1"/>
    <col min="17" max="16384" width="0.875" style="1" customWidth="1"/>
  </cols>
  <sheetData>
    <row r="1" spans="1:14" ht="18.75" customHeight="1">
      <c r="A1" s="7"/>
      <c r="B1" s="7"/>
      <c r="C1" s="7"/>
      <c r="D1" s="7"/>
      <c r="E1" s="7"/>
      <c r="F1" s="7"/>
      <c r="G1" s="7"/>
      <c r="H1" s="7"/>
      <c r="I1" s="7"/>
      <c r="J1" s="13"/>
      <c r="K1" s="7"/>
      <c r="L1" s="7"/>
      <c r="M1" s="13"/>
      <c r="N1" s="14"/>
    </row>
    <row r="2" spans="1:14" ht="18.75" customHeight="1">
      <c r="A2" s="7"/>
      <c r="B2" s="7"/>
      <c r="C2" s="248" t="s">
        <v>248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3"/>
    </row>
    <row r="3" spans="1:15" s="6" customFormat="1" ht="18.75" customHeight="1">
      <c r="A3" s="15"/>
      <c r="B3" s="8"/>
      <c r="C3" s="8"/>
      <c r="D3" s="8"/>
      <c r="E3" s="199" t="s">
        <v>207</v>
      </c>
      <c r="F3" s="199"/>
      <c r="G3" s="199"/>
      <c r="H3" s="199"/>
      <c r="I3" s="199"/>
      <c r="J3" s="199"/>
      <c r="K3" s="199"/>
      <c r="L3" s="11"/>
      <c r="M3" s="8"/>
      <c r="N3" s="8"/>
      <c r="O3" s="8"/>
    </row>
    <row r="4" spans="1:15" s="3" customFormat="1" ht="18.75" customHeight="1">
      <c r="A4" s="16"/>
      <c r="B4" s="8"/>
      <c r="C4" s="8"/>
      <c r="D4" s="8"/>
      <c r="E4" s="8"/>
      <c r="F4" s="199" t="s">
        <v>169</v>
      </c>
      <c r="G4" s="199"/>
      <c r="H4" s="199"/>
      <c r="I4" s="199"/>
      <c r="J4" s="199"/>
      <c r="K4" s="8"/>
      <c r="L4" s="8"/>
      <c r="M4" s="8"/>
      <c r="N4" s="8"/>
      <c r="O4" s="8"/>
    </row>
    <row r="5" spans="1:15" s="3" customFormat="1" ht="18.75" customHeight="1">
      <c r="A5" s="16"/>
      <c r="B5" s="9"/>
      <c r="C5" s="9"/>
      <c r="D5" s="9"/>
      <c r="E5" s="9"/>
      <c r="F5" s="206" t="s">
        <v>208</v>
      </c>
      <c r="G5" s="206"/>
      <c r="H5" s="206"/>
      <c r="I5" s="206"/>
      <c r="J5" s="206"/>
      <c r="K5" s="9"/>
      <c r="L5" s="9"/>
      <c r="M5" s="9"/>
      <c r="N5" s="9"/>
      <c r="O5" s="9"/>
    </row>
    <row r="6" spans="1:15" s="4" customFormat="1" ht="18.75" customHeight="1">
      <c r="A6" s="8"/>
      <c r="B6" s="206" t="s">
        <v>229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9"/>
      <c r="O6" s="9"/>
    </row>
    <row r="7" spans="1:15" s="4" customFormat="1" ht="18.75" customHeight="1">
      <c r="A7" s="7"/>
      <c r="B7" s="243" t="s">
        <v>205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10"/>
      <c r="O7" s="10"/>
    </row>
    <row r="8" spans="1:14" s="5" customFormat="1" ht="17.25" customHeight="1">
      <c r="A8" s="15"/>
      <c r="B8" s="15"/>
      <c r="C8" s="15"/>
      <c r="D8" s="15"/>
      <c r="E8" s="15"/>
      <c r="F8" s="15"/>
      <c r="G8" s="15"/>
      <c r="H8" s="15"/>
      <c r="I8" s="15"/>
      <c r="J8" s="17"/>
      <c r="K8" s="15"/>
      <c r="L8" s="15"/>
      <c r="M8" s="17"/>
      <c r="N8" s="17"/>
    </row>
    <row r="9" spans="1:15" ht="151.5" customHeight="1">
      <c r="A9" s="203" t="s">
        <v>3</v>
      </c>
      <c r="B9" s="194" t="s">
        <v>61</v>
      </c>
      <c r="C9" s="203" t="s">
        <v>4</v>
      </c>
      <c r="D9" s="200"/>
      <c r="E9" s="201"/>
      <c r="F9" s="200"/>
      <c r="G9" s="201"/>
      <c r="H9" s="18" t="s">
        <v>228</v>
      </c>
      <c r="I9" s="18" t="s">
        <v>215</v>
      </c>
      <c r="J9" s="203" t="s">
        <v>200</v>
      </c>
      <c r="K9" s="18" t="s">
        <v>216</v>
      </c>
      <c r="L9" s="18" t="s">
        <v>216</v>
      </c>
      <c r="M9" s="207" t="s">
        <v>199</v>
      </c>
      <c r="N9" s="203" t="s">
        <v>108</v>
      </c>
      <c r="O9" s="203" t="s">
        <v>108</v>
      </c>
    </row>
    <row r="10" spans="1:15" ht="18" customHeight="1">
      <c r="A10" s="204"/>
      <c r="B10" s="195"/>
      <c r="C10" s="204"/>
      <c r="D10" s="200" t="s">
        <v>212</v>
      </c>
      <c r="E10" s="201"/>
      <c r="F10" s="200" t="s">
        <v>213</v>
      </c>
      <c r="G10" s="201"/>
      <c r="H10" s="19" t="s">
        <v>214</v>
      </c>
      <c r="I10" s="19" t="s">
        <v>214</v>
      </c>
      <c r="J10" s="204"/>
      <c r="K10" s="19" t="s">
        <v>214</v>
      </c>
      <c r="L10" s="19" t="s">
        <v>214</v>
      </c>
      <c r="M10" s="208"/>
      <c r="N10" s="204"/>
      <c r="O10" s="204"/>
    </row>
    <row r="11" spans="1:15" ht="21" customHeight="1">
      <c r="A11" s="205"/>
      <c r="B11" s="196"/>
      <c r="C11" s="205"/>
      <c r="D11" s="20" t="s">
        <v>0</v>
      </c>
      <c r="E11" s="20" t="s">
        <v>1</v>
      </c>
      <c r="F11" s="20" t="s">
        <v>0</v>
      </c>
      <c r="G11" s="20" t="s">
        <v>149</v>
      </c>
      <c r="H11" s="19" t="s">
        <v>0</v>
      </c>
      <c r="I11" s="19" t="s">
        <v>0</v>
      </c>
      <c r="J11" s="205"/>
      <c r="K11" s="19" t="s">
        <v>0</v>
      </c>
      <c r="L11" s="19" t="s">
        <v>0</v>
      </c>
      <c r="M11" s="209"/>
      <c r="N11" s="205"/>
      <c r="O11" s="205"/>
    </row>
    <row r="12" spans="1:15" ht="18.75">
      <c r="A12" s="21"/>
      <c r="B12" s="22" t="s">
        <v>153</v>
      </c>
      <c r="C12" s="23"/>
      <c r="D12" s="90"/>
      <c r="E12" s="90"/>
      <c r="F12" s="90"/>
      <c r="G12" s="90"/>
      <c r="H12" s="90"/>
      <c r="I12" s="90"/>
      <c r="J12" s="23"/>
      <c r="K12" s="90"/>
      <c r="L12" s="90"/>
      <c r="M12" s="23"/>
      <c r="N12" s="23"/>
      <c r="O12" s="91"/>
    </row>
    <row r="13" spans="1:15" ht="23.25" customHeight="1">
      <c r="A13" s="24" t="s">
        <v>41</v>
      </c>
      <c r="B13" s="25" t="s">
        <v>162</v>
      </c>
      <c r="C13" s="26" t="s">
        <v>163</v>
      </c>
      <c r="D13" s="27"/>
      <c r="E13" s="27"/>
      <c r="F13" s="27">
        <v>0.25</v>
      </c>
      <c r="G13" s="27">
        <v>0.25</v>
      </c>
      <c r="H13" s="27">
        <v>0.25</v>
      </c>
      <c r="I13" s="27">
        <f>H13</f>
        <v>0.25</v>
      </c>
      <c r="J13" s="28"/>
      <c r="K13" s="27">
        <v>0.25</v>
      </c>
      <c r="L13" s="27">
        <f>F13</f>
        <v>0.25</v>
      </c>
      <c r="M13" s="28"/>
      <c r="N13" s="29">
        <f>IF(AND(F13&gt;0,K13&gt;0),K13/F13,"-")</f>
        <v>1</v>
      </c>
      <c r="O13" s="29">
        <f>IF(AND(G13&gt;0,L13&gt;0),L13/G13,"-")</f>
        <v>1</v>
      </c>
    </row>
    <row r="14" spans="1:15" s="6" customFormat="1" ht="52.5" customHeight="1">
      <c r="A14" s="210" t="s">
        <v>42</v>
      </c>
      <c r="B14" s="197" t="s">
        <v>154</v>
      </c>
      <c r="C14" s="30" t="s">
        <v>31</v>
      </c>
      <c r="D14" s="31">
        <f>ROUND(D17,1)+ROUND(D19,1)</f>
        <v>0</v>
      </c>
      <c r="E14" s="31">
        <f aca="true" t="shared" si="0" ref="D14:H15">ROUND(E17,1)+ROUND(E19,1)</f>
        <v>0</v>
      </c>
      <c r="F14" s="31">
        <f>ROUND(F17,1)+ROUND(F19,1)</f>
        <v>37938</v>
      </c>
      <c r="G14" s="31">
        <f>ROUND(G17,1)+ROUND(G19,1)</f>
        <v>37938</v>
      </c>
      <c r="H14" s="31">
        <f t="shared" si="0"/>
        <v>37938</v>
      </c>
      <c r="I14" s="89">
        <f>H14</f>
        <v>37938</v>
      </c>
      <c r="J14" s="117" t="s">
        <v>232</v>
      </c>
      <c r="K14" s="31">
        <f>ROUND(K17,1)+ROUND(K19,1)</f>
        <v>37938</v>
      </c>
      <c r="L14" s="31">
        <f>F14</f>
        <v>37938</v>
      </c>
      <c r="M14" s="32" t="s">
        <v>233</v>
      </c>
      <c r="N14" s="29">
        <f>IF(AND(F14&gt;0,K14&gt;0),K14/F14,"-")</f>
        <v>1</v>
      </c>
      <c r="O14" s="29">
        <f>IF(AND(G14&gt;0,L14&gt;0),L14/G14,"-")</f>
        <v>1</v>
      </c>
    </row>
    <row r="15" spans="1:15" s="6" customFormat="1" ht="28.5" customHeight="1">
      <c r="A15" s="211"/>
      <c r="B15" s="198"/>
      <c r="C15" s="30" t="s">
        <v>150</v>
      </c>
      <c r="D15" s="31">
        <f t="shared" si="0"/>
        <v>0</v>
      </c>
      <c r="E15" s="31">
        <f t="shared" si="0"/>
        <v>0</v>
      </c>
      <c r="F15" s="31">
        <f>ROUND(F18,1)+ROUND(F20,1)</f>
        <v>9484.5</v>
      </c>
      <c r="G15" s="31">
        <f>ROUND(G18,1)+ROUND(G20,1)</f>
        <v>9484.5</v>
      </c>
      <c r="H15" s="31">
        <f t="shared" si="0"/>
        <v>9484.5</v>
      </c>
      <c r="I15" s="89">
        <f>H15</f>
        <v>9484.5</v>
      </c>
      <c r="J15" s="32" t="s">
        <v>237</v>
      </c>
      <c r="K15" s="31">
        <f>ROUND(K18,1)+ROUND(K20,1)</f>
        <v>9484.5</v>
      </c>
      <c r="L15" s="31">
        <f>F15</f>
        <v>9484.5</v>
      </c>
      <c r="M15" s="32" t="s">
        <v>237</v>
      </c>
      <c r="N15" s="29">
        <f>IF(AND(F15&gt;0,K15&gt;0),K15/F15,"-")</f>
        <v>1</v>
      </c>
      <c r="O15" s="29">
        <f>IF(AND(G15&gt;0,L15&gt;0),L15/G15,"-")</f>
        <v>1</v>
      </c>
    </row>
    <row r="16" spans="1:15" s="6" customFormat="1" ht="39.75" customHeight="1">
      <c r="A16" s="212"/>
      <c r="B16" s="33" t="s">
        <v>221</v>
      </c>
      <c r="C16" s="34"/>
      <c r="D16" s="35" t="e">
        <f>IF(AND(ROUND(D13,2)=ROUND((D15/D14),2),D13&gt;0),"","Ошибка1")</f>
        <v>#DIV/0!</v>
      </c>
      <c r="E16" s="35" t="e">
        <f aca="true" t="shared" si="1" ref="E16:K16">IF(AND(ROUND(E13,2)=ROUND((E15/E14),2),E13&gt;0),"","Ошибка1")</f>
        <v>#DIV/0!</v>
      </c>
      <c r="F16" s="35">
        <f t="shared" si="1"/>
      </c>
      <c r="G16" s="35">
        <f t="shared" si="1"/>
      </c>
      <c r="H16" s="35">
        <f t="shared" si="1"/>
      </c>
      <c r="I16" s="35"/>
      <c r="J16" s="32" t="s">
        <v>237</v>
      </c>
      <c r="K16" s="35">
        <f t="shared" si="1"/>
      </c>
      <c r="L16" s="35"/>
      <c r="M16" s="32" t="s">
        <v>237</v>
      </c>
      <c r="N16" s="29"/>
      <c r="O16" s="29"/>
    </row>
    <row r="17" spans="1:15" s="6" customFormat="1" ht="15" customHeight="1">
      <c r="A17" s="190" t="s">
        <v>156</v>
      </c>
      <c r="B17" s="192" t="s">
        <v>151</v>
      </c>
      <c r="C17" s="36" t="s">
        <v>31</v>
      </c>
      <c r="D17" s="37"/>
      <c r="E17" s="37"/>
      <c r="F17" s="37">
        <f>G17</f>
        <v>37938</v>
      </c>
      <c r="G17" s="37">
        <v>37938</v>
      </c>
      <c r="H17" s="37">
        <f>G17</f>
        <v>37938</v>
      </c>
      <c r="I17" s="27">
        <f>H17</f>
        <v>37938</v>
      </c>
      <c r="J17" s="32" t="s">
        <v>237</v>
      </c>
      <c r="K17" s="37">
        <v>37938</v>
      </c>
      <c r="L17" s="37">
        <f>F17</f>
        <v>37938</v>
      </c>
      <c r="M17" s="32" t="s">
        <v>237</v>
      </c>
      <c r="N17" s="29">
        <f>IF(AND(F17&gt;0,K17&gt;0),K17/F17,"-")</f>
        <v>1</v>
      </c>
      <c r="O17" s="29">
        <f>IF(AND(G17&gt;0,L17&gt;0),L17/G17,"-")</f>
        <v>1</v>
      </c>
    </row>
    <row r="18" spans="1:15" ht="15" customHeight="1">
      <c r="A18" s="191"/>
      <c r="B18" s="193"/>
      <c r="C18" s="39" t="s">
        <v>150</v>
      </c>
      <c r="D18" s="37"/>
      <c r="E18" s="37"/>
      <c r="F18" s="37">
        <f>F17*F13</f>
        <v>9484.5</v>
      </c>
      <c r="G18" s="37">
        <f>G17*G13</f>
        <v>9484.5</v>
      </c>
      <c r="H18" s="37">
        <f>H17*H13</f>
        <v>9484.5</v>
      </c>
      <c r="I18" s="27">
        <f>H18</f>
        <v>9484.5</v>
      </c>
      <c r="J18" s="32" t="s">
        <v>237</v>
      </c>
      <c r="K18" s="37">
        <f>K17*K13</f>
        <v>9484.5</v>
      </c>
      <c r="L18" s="37">
        <f>F18</f>
        <v>9484.5</v>
      </c>
      <c r="M18" s="32" t="s">
        <v>237</v>
      </c>
      <c r="N18" s="29">
        <f>IF(AND(F18&gt;0,K18&gt;0),K18/F18,"-")</f>
        <v>1</v>
      </c>
      <c r="O18" s="29">
        <f>IF(AND(G18&gt;0,L18&gt;0),L18/G18,"-")</f>
        <v>1</v>
      </c>
    </row>
    <row r="19" spans="1:15" s="6" customFormat="1" ht="15" customHeight="1">
      <c r="A19" s="190" t="s">
        <v>157</v>
      </c>
      <c r="B19" s="192" t="s">
        <v>152</v>
      </c>
      <c r="C19" s="36" t="s">
        <v>31</v>
      </c>
      <c r="D19" s="37"/>
      <c r="E19" s="37"/>
      <c r="F19" s="37"/>
      <c r="G19" s="37"/>
      <c r="H19" s="37"/>
      <c r="I19" s="37"/>
      <c r="J19" s="32" t="s">
        <v>237</v>
      </c>
      <c r="K19" s="37"/>
      <c r="L19" s="37"/>
      <c r="M19" s="32" t="s">
        <v>237</v>
      </c>
      <c r="N19" s="29" t="str">
        <f>IF(AND(F19&gt;0,K19&gt;0),K19/F19,"-")</f>
        <v>-</v>
      </c>
      <c r="O19" s="29" t="str">
        <f>IF(AND(G19&gt;0,L19&gt;0),L19/G19,"-")</f>
        <v>-</v>
      </c>
    </row>
    <row r="20" spans="1:15" s="6" customFormat="1" ht="15" customHeight="1">
      <c r="A20" s="191"/>
      <c r="B20" s="193"/>
      <c r="C20" s="39" t="s">
        <v>150</v>
      </c>
      <c r="D20" s="37"/>
      <c r="E20" s="37"/>
      <c r="F20" s="37"/>
      <c r="G20" s="37"/>
      <c r="H20" s="37"/>
      <c r="I20" s="37"/>
      <c r="J20" s="32" t="s">
        <v>237</v>
      </c>
      <c r="K20" s="37"/>
      <c r="L20" s="37"/>
      <c r="M20" s="32" t="s">
        <v>237</v>
      </c>
      <c r="N20" s="29" t="str">
        <f>IF(AND(F20&gt;0,K20&gt;0),K20/F20,"-")</f>
        <v>-</v>
      </c>
      <c r="O20" s="29" t="str">
        <f>IF(AND(G20&gt;0,L20&gt;0),L20/G20,"-")</f>
        <v>-</v>
      </c>
    </row>
    <row r="21" spans="1:15" s="6" customFormat="1" ht="22.5" customHeight="1">
      <c r="A21" s="38" t="s">
        <v>43</v>
      </c>
      <c r="B21" s="40" t="s">
        <v>155</v>
      </c>
      <c r="C21" s="39"/>
      <c r="D21" s="37"/>
      <c r="E21" s="37"/>
      <c r="F21" s="37"/>
      <c r="G21" s="37"/>
      <c r="H21" s="37"/>
      <c r="I21" s="37"/>
      <c r="J21" s="32"/>
      <c r="K21" s="37"/>
      <c r="L21" s="37"/>
      <c r="M21" s="32"/>
      <c r="N21" s="29" t="str">
        <f>IF(AND(F21&gt;0,K21&gt;0),K21/F21,"-")</f>
        <v>-</v>
      </c>
      <c r="O21" s="29" t="str">
        <f>IF(AND(G21&gt;0,L21&gt;0),L21/G21,"-")</f>
        <v>-</v>
      </c>
    </row>
    <row r="22" spans="1:15" s="6" customFormat="1" ht="18" customHeight="1">
      <c r="A22" s="190" t="s">
        <v>101</v>
      </c>
      <c r="B22" s="192" t="s">
        <v>158</v>
      </c>
      <c r="C22" s="36" t="s">
        <v>31</v>
      </c>
      <c r="D22" s="37"/>
      <c r="E22" s="37"/>
      <c r="F22" s="37">
        <f>F17</f>
        <v>37938</v>
      </c>
      <c r="G22" s="37">
        <f>G17</f>
        <v>37938</v>
      </c>
      <c r="H22" s="37">
        <f>H17</f>
        <v>37938</v>
      </c>
      <c r="I22" s="37">
        <f>I17</f>
        <v>37938</v>
      </c>
      <c r="J22" s="32" t="s">
        <v>237</v>
      </c>
      <c r="K22" s="37">
        <f>K17</f>
        <v>37938</v>
      </c>
      <c r="L22" s="37">
        <f>F22</f>
        <v>37938</v>
      </c>
      <c r="M22" s="32" t="s">
        <v>237</v>
      </c>
      <c r="N22" s="29">
        <f>IF(AND(F22&gt;0,K22&gt;0),K22/F22,"-")</f>
        <v>1</v>
      </c>
      <c r="O22" s="29">
        <f>IF(AND(G22&gt;0,L22&gt;0),L22/G22,"-")</f>
        <v>1</v>
      </c>
    </row>
    <row r="23" spans="1:15" s="6" customFormat="1" ht="18" customHeight="1">
      <c r="A23" s="191"/>
      <c r="B23" s="193"/>
      <c r="C23" s="39" t="s">
        <v>150</v>
      </c>
      <c r="D23" s="37"/>
      <c r="E23" s="37"/>
      <c r="F23" s="37">
        <f>F22*F13</f>
        <v>9484.5</v>
      </c>
      <c r="G23" s="37">
        <f>G22*G13</f>
        <v>9484.5</v>
      </c>
      <c r="H23" s="37">
        <f>H22*H13</f>
        <v>9484.5</v>
      </c>
      <c r="I23" s="37">
        <f>I22*I13</f>
        <v>9484.5</v>
      </c>
      <c r="J23" s="32" t="s">
        <v>237</v>
      </c>
      <c r="K23" s="37">
        <f>K22*K13</f>
        <v>9484.5</v>
      </c>
      <c r="L23" s="37">
        <f>F23</f>
        <v>9484.5</v>
      </c>
      <c r="M23" s="32" t="s">
        <v>237</v>
      </c>
      <c r="N23" s="29">
        <f>IF(AND(F23&gt;0,K23&gt;0),K23/F23,"-")</f>
        <v>1</v>
      </c>
      <c r="O23" s="29">
        <f>IF(AND(G23&gt;0,L23&gt;0),L23/G23,"-")</f>
        <v>1</v>
      </c>
    </row>
    <row r="24" spans="1:15" s="6" customFormat="1" ht="15" customHeight="1">
      <c r="A24" s="190" t="s">
        <v>102</v>
      </c>
      <c r="B24" s="192" t="s">
        <v>159</v>
      </c>
      <c r="C24" s="36" t="s">
        <v>31</v>
      </c>
      <c r="D24" s="37"/>
      <c r="E24" s="37"/>
      <c r="F24" s="37">
        <v>0</v>
      </c>
      <c r="G24" s="37">
        <v>0</v>
      </c>
      <c r="H24" s="37">
        <v>0</v>
      </c>
      <c r="I24" s="37">
        <v>0</v>
      </c>
      <c r="J24" s="32"/>
      <c r="K24" s="37">
        <v>0</v>
      </c>
      <c r="L24" s="37"/>
      <c r="M24" s="32"/>
      <c r="N24" s="29" t="str">
        <f>IF(AND(F24&gt;0,K24&gt;0),K24/F24,"-")</f>
        <v>-</v>
      </c>
      <c r="O24" s="29" t="str">
        <f>IF(AND(G24&gt;0,L24&gt;0),L24/G24,"-")</f>
        <v>-</v>
      </c>
    </row>
    <row r="25" spans="1:15" s="6" customFormat="1" ht="15" customHeight="1">
      <c r="A25" s="191"/>
      <c r="B25" s="193"/>
      <c r="C25" s="39" t="s">
        <v>150</v>
      </c>
      <c r="D25" s="37"/>
      <c r="E25" s="37"/>
      <c r="F25" s="37">
        <v>0</v>
      </c>
      <c r="G25" s="37">
        <v>0</v>
      </c>
      <c r="H25" s="37">
        <v>0</v>
      </c>
      <c r="I25" s="37">
        <v>0</v>
      </c>
      <c r="J25" s="32"/>
      <c r="K25" s="37">
        <v>0</v>
      </c>
      <c r="L25" s="37"/>
      <c r="M25" s="32"/>
      <c r="N25" s="29" t="str">
        <f>IF(AND(F25&gt;0,K25&gt;0),K25/F25,"-")</f>
        <v>-</v>
      </c>
      <c r="O25" s="29" t="str">
        <f>IF(AND(G25&gt;0,L25&gt;0),L25/G25,"-")</f>
        <v>-</v>
      </c>
    </row>
    <row r="26" spans="1:15" s="6" customFormat="1" ht="15" customHeight="1">
      <c r="A26" s="190" t="s">
        <v>103</v>
      </c>
      <c r="B26" s="192" t="s">
        <v>160</v>
      </c>
      <c r="C26" s="36" t="s">
        <v>31</v>
      </c>
      <c r="D26" s="37"/>
      <c r="E26" s="37"/>
      <c r="F26" s="37"/>
      <c r="G26" s="37"/>
      <c r="H26" s="37"/>
      <c r="I26" s="37"/>
      <c r="J26" s="32"/>
      <c r="K26" s="37"/>
      <c r="L26" s="37"/>
      <c r="M26" s="32"/>
      <c r="N26" s="29" t="str">
        <f>IF(AND(F26&gt;0,K26&gt;0),K26/F26,"-")</f>
        <v>-</v>
      </c>
      <c r="O26" s="29" t="str">
        <f>IF(AND(G26&gt;0,L26&gt;0),L26/G26,"-")</f>
        <v>-</v>
      </c>
    </row>
    <row r="27" spans="1:15" s="6" customFormat="1" ht="15" customHeight="1">
      <c r="A27" s="191"/>
      <c r="B27" s="193"/>
      <c r="C27" s="39" t="s">
        <v>150</v>
      </c>
      <c r="D27" s="37"/>
      <c r="E27" s="37"/>
      <c r="F27" s="37"/>
      <c r="G27" s="37"/>
      <c r="H27" s="37"/>
      <c r="I27" s="37"/>
      <c r="J27" s="32"/>
      <c r="K27" s="37"/>
      <c r="L27" s="37"/>
      <c r="M27" s="32"/>
      <c r="N27" s="29" t="str">
        <f>IF(AND(F27&gt;0,K27&gt;0),K27/F27,"-")</f>
        <v>-</v>
      </c>
      <c r="O27" s="29" t="str">
        <f>IF(AND(G27&gt;0,L27&gt;0),L27/G27,"-")</f>
        <v>-</v>
      </c>
    </row>
    <row r="28" spans="1:15" s="6" customFormat="1" ht="24.75" customHeight="1">
      <c r="A28" s="38"/>
      <c r="B28" s="33" t="s">
        <v>220</v>
      </c>
      <c r="C28" s="38"/>
      <c r="D28" s="35">
        <f>IF(AND(D14=ROUND((D22+D24+D26),1),D15=ROUND((D23+D25+D27),1)),"","Ошибка2")</f>
      </c>
      <c r="E28" s="35">
        <f aca="true" t="shared" si="2" ref="E28:K28">IF(AND(E14=ROUND((E22+E24+E26),1),E15=ROUND((E23+E25+E27),1)),"","Ошибка2")</f>
      </c>
      <c r="F28" s="35">
        <f t="shared" si="2"/>
      </c>
      <c r="G28" s="35">
        <f t="shared" si="2"/>
      </c>
      <c r="H28" s="35">
        <f t="shared" si="2"/>
      </c>
      <c r="I28" s="35"/>
      <c r="J28" s="32"/>
      <c r="K28" s="35">
        <f t="shared" si="2"/>
      </c>
      <c r="L28" s="35"/>
      <c r="M28" s="32"/>
      <c r="N28" s="29"/>
      <c r="O28" s="29" t="str">
        <f>IF(AND(G28&gt;0,L28&gt;0),L28/G28,"-")</f>
        <v>-</v>
      </c>
    </row>
    <row r="29" spans="1:15" ht="37.5">
      <c r="A29" s="39" t="s">
        <v>44</v>
      </c>
      <c r="B29" s="41" t="s">
        <v>161</v>
      </c>
      <c r="C29" s="39" t="s">
        <v>2</v>
      </c>
      <c r="D29" s="42"/>
      <c r="E29" s="42"/>
      <c r="F29" s="42"/>
      <c r="G29" s="42"/>
      <c r="H29" s="42"/>
      <c r="I29" s="42"/>
      <c r="J29" s="32"/>
      <c r="K29" s="37"/>
      <c r="L29" s="37"/>
      <c r="M29" s="32"/>
      <c r="N29" s="29" t="str">
        <f>IF(AND(F29&gt;0,K29&gt;0),K29/F29,"-")</f>
        <v>-</v>
      </c>
      <c r="O29" s="29" t="str">
        <f>IF(AND(G29&gt;0,L29&gt;0),L29/G29,"-")</f>
        <v>-</v>
      </c>
    </row>
    <row r="30" spans="1:15" ht="18.75">
      <c r="A30" s="43"/>
      <c r="B30" s="22" t="s">
        <v>62</v>
      </c>
      <c r="C30" s="2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9" t="str">
        <f>IF(AND(F30&gt;0,K30&gt;0),K30/F30,"-")</f>
        <v>-</v>
      </c>
      <c r="O30" s="29" t="str">
        <f>IF(AND(G30&gt;0,L30&gt;0),L30/G30,"-")</f>
        <v>-</v>
      </c>
    </row>
    <row r="31" spans="1:15" ht="18.75">
      <c r="A31" s="43"/>
      <c r="B31" s="45" t="s">
        <v>64</v>
      </c>
      <c r="C31" s="46" t="s">
        <v>222</v>
      </c>
      <c r="D31" s="47"/>
      <c r="E31" s="48"/>
      <c r="F31" s="48"/>
      <c r="G31" s="48"/>
      <c r="H31" s="48"/>
      <c r="I31" s="48"/>
      <c r="J31" s="49"/>
      <c r="K31" s="48"/>
      <c r="L31" s="48"/>
      <c r="M31" s="49"/>
      <c r="N31" s="29" t="str">
        <f>IF(AND(F31&gt;0,K31&gt;0),K31/F31,"-")</f>
        <v>-</v>
      </c>
      <c r="O31" s="29" t="str">
        <f>IF(AND(G31&gt;0,L31&gt;0),L31/G31,"-")</f>
        <v>-</v>
      </c>
    </row>
    <row r="32" spans="1:15" s="6" customFormat="1" ht="56.25" customHeight="1">
      <c r="A32" s="50" t="s">
        <v>41</v>
      </c>
      <c r="B32" s="51" t="s">
        <v>6</v>
      </c>
      <c r="C32" s="30" t="s">
        <v>5</v>
      </c>
      <c r="D32" s="52">
        <f aca="true" t="shared" si="3" ref="D32:I32">ROUND(D33,1)+ROUND(D95,1)+ROUND(D80,1)</f>
        <v>0</v>
      </c>
      <c r="E32" s="52">
        <f t="shared" si="3"/>
        <v>856.3</v>
      </c>
      <c r="F32" s="52">
        <f t="shared" si="3"/>
        <v>2801.6000000000004</v>
      </c>
      <c r="G32" s="52">
        <f t="shared" si="3"/>
        <v>2801.6000000000004</v>
      </c>
      <c r="H32" s="52">
        <f t="shared" si="3"/>
        <v>2894.6</v>
      </c>
      <c r="I32" s="52">
        <f t="shared" si="3"/>
        <v>4129.1</v>
      </c>
      <c r="J32" s="53" t="s">
        <v>232</v>
      </c>
      <c r="K32" s="52">
        <f>ROUND(K33,1)+ROUND(K95,1)+ROUND(K80,1)</f>
        <v>3590.5</v>
      </c>
      <c r="L32" s="52">
        <f>ROUND(L33,1)+ROUND(L95,1)+ROUND(L80,1)</f>
        <v>3769.2</v>
      </c>
      <c r="M32" s="53" t="s">
        <v>236</v>
      </c>
      <c r="N32" s="29">
        <f>IF(AND(F32&gt;0,K32&gt;0),K32/F32,"-")</f>
        <v>1.2815890919474584</v>
      </c>
      <c r="O32" s="29">
        <f>IF(AND(G32&gt;0,L32&gt;0),L32/G32,"-")</f>
        <v>1.3453740719588805</v>
      </c>
    </row>
    <row r="33" spans="1:15" s="6" customFormat="1" ht="74.25" customHeight="1">
      <c r="A33" s="54" t="s">
        <v>66</v>
      </c>
      <c r="B33" s="55" t="s">
        <v>167</v>
      </c>
      <c r="C33" s="30" t="s">
        <v>5</v>
      </c>
      <c r="D33" s="31">
        <f aca="true" t="shared" si="4" ref="D33:I33">ROUND(D37,1)+ROUND(D54,1)+ROUND(D61,1)</f>
        <v>0</v>
      </c>
      <c r="E33" s="31">
        <f t="shared" si="4"/>
        <v>856.3</v>
      </c>
      <c r="F33" s="31">
        <f t="shared" si="4"/>
        <v>2123.2999999999997</v>
      </c>
      <c r="G33" s="31">
        <f t="shared" si="4"/>
        <v>2123.2999999999997</v>
      </c>
      <c r="H33" s="31">
        <f t="shared" si="4"/>
        <v>2186.2</v>
      </c>
      <c r="I33" s="31">
        <f t="shared" si="4"/>
        <v>2515.5</v>
      </c>
      <c r="J33" s="32" t="s">
        <v>232</v>
      </c>
      <c r="K33" s="31">
        <f>F33*K36*(1-K35)*(K15/F15)</f>
        <v>2190.353814</v>
      </c>
      <c r="L33" s="31">
        <f>ROUND(L37,1)+ROUND(L54,1)+ROUND(L61,1)</f>
        <v>2369.1</v>
      </c>
      <c r="M33" s="32" t="s">
        <v>236</v>
      </c>
      <c r="N33" s="29">
        <f>IF(AND(F33&gt;0,K33&gt;0),K33/F33,"-")</f>
        <v>1.0315800000000002</v>
      </c>
      <c r="O33" s="29">
        <f>IF(AND(G33&gt;0,L33&gt;0),L33/G33,"-")</f>
        <v>1.1157631987943297</v>
      </c>
    </row>
    <row r="34" spans="1:15" s="6" customFormat="1" ht="15" customHeight="1">
      <c r="A34" s="39"/>
      <c r="B34" s="56" t="s">
        <v>63</v>
      </c>
      <c r="C34" s="36"/>
      <c r="D34" s="37"/>
      <c r="E34" s="37"/>
      <c r="F34" s="37"/>
      <c r="G34" s="37"/>
      <c r="H34" s="37"/>
      <c r="I34" s="37"/>
      <c r="J34" s="32"/>
      <c r="K34" s="37"/>
      <c r="L34" s="37"/>
      <c r="M34" s="32"/>
      <c r="N34" s="29" t="str">
        <f>IF(AND(F34&gt;0,K34&gt;0),K34/F34,"-")</f>
        <v>-</v>
      </c>
      <c r="O34" s="92"/>
    </row>
    <row r="35" spans="1:15" s="6" customFormat="1" ht="89.25" customHeight="1">
      <c r="A35" s="39"/>
      <c r="B35" s="57" t="s">
        <v>20</v>
      </c>
      <c r="C35" s="58" t="s">
        <v>2</v>
      </c>
      <c r="D35" s="37" t="s">
        <v>16</v>
      </c>
      <c r="E35" s="37" t="s">
        <v>16</v>
      </c>
      <c r="F35" s="59">
        <v>0.01</v>
      </c>
      <c r="G35" s="59">
        <v>0.01</v>
      </c>
      <c r="H35" s="59">
        <v>0.01</v>
      </c>
      <c r="I35" s="59">
        <v>0.01</v>
      </c>
      <c r="J35" s="32"/>
      <c r="K35" s="59">
        <v>0.01</v>
      </c>
      <c r="L35" s="59">
        <v>0.01</v>
      </c>
      <c r="M35" s="32" t="s">
        <v>219</v>
      </c>
      <c r="N35" s="29">
        <f>IF(AND(F35&gt;0,K35&gt;0),K35/F35,"-")</f>
        <v>1</v>
      </c>
      <c r="O35" s="29">
        <f>IF(AND(G35&gt;0,L35&gt;0),L35/G35,"-")</f>
        <v>1</v>
      </c>
    </row>
    <row r="36" spans="1:15" s="6" customFormat="1" ht="78" customHeight="1">
      <c r="A36" s="39"/>
      <c r="B36" s="57" t="s">
        <v>7</v>
      </c>
      <c r="C36" s="58" t="s">
        <v>2</v>
      </c>
      <c r="D36" s="59">
        <v>1.047</v>
      </c>
      <c r="E36" s="59">
        <v>1.037</v>
      </c>
      <c r="F36" s="59">
        <v>1.037</v>
      </c>
      <c r="G36" s="59">
        <v>1.026</v>
      </c>
      <c r="H36" s="59">
        <v>1.026</v>
      </c>
      <c r="I36" s="59">
        <v>1.026</v>
      </c>
      <c r="J36" s="32"/>
      <c r="K36" s="59">
        <v>1.042</v>
      </c>
      <c r="L36" s="59">
        <v>1.042</v>
      </c>
      <c r="M36" s="32"/>
      <c r="N36" s="29">
        <f>IF(AND(F36&gt;0,K36&gt;0),K36/F36,"-")</f>
        <v>1.0048216007714563</v>
      </c>
      <c r="O36" s="29">
        <f>IF(AND(G36&gt;0,L36&gt;0),L36/G36,"-")</f>
        <v>1.0155945419103314</v>
      </c>
    </row>
    <row r="37" spans="1:15" s="6" customFormat="1" ht="34.5" customHeight="1">
      <c r="A37" s="54" t="s">
        <v>69</v>
      </c>
      <c r="B37" s="55" t="s">
        <v>94</v>
      </c>
      <c r="C37" s="30" t="s">
        <v>5</v>
      </c>
      <c r="D37" s="31">
        <f aca="true" t="shared" si="5" ref="D37:I37">ROUND(D38,1)+ROUND(D42,1)+ROUND(D43,1)+ROUND(D52,1)+ROUND(D53,1)</f>
        <v>0</v>
      </c>
      <c r="E37" s="31">
        <f t="shared" si="5"/>
        <v>856.3</v>
      </c>
      <c r="F37" s="31">
        <f t="shared" si="5"/>
        <v>2073.4</v>
      </c>
      <c r="G37" s="31">
        <f t="shared" si="5"/>
        <v>2073.4</v>
      </c>
      <c r="H37" s="31">
        <f t="shared" si="5"/>
        <v>2134.7</v>
      </c>
      <c r="I37" s="31">
        <f t="shared" si="5"/>
        <v>2464</v>
      </c>
      <c r="J37" s="31"/>
      <c r="K37" s="61">
        <f>F37*$K$36*(1-$K$35)*($K$15/$F$15)</f>
        <v>2138.877972</v>
      </c>
      <c r="L37" s="31">
        <f>ROUND(L38,1)+ROUND(L42,1)+ROUND(L43,1)+ROUND(L52,1)+ROUND(L53,1)</f>
        <v>2317.6</v>
      </c>
      <c r="M37" s="60" t="s">
        <v>104</v>
      </c>
      <c r="N37" s="29">
        <f>IF(AND(F37&gt;0,K37&gt;0),K37/F37,"-")</f>
        <v>1.0315800000000002</v>
      </c>
      <c r="O37" s="29">
        <f>IF(AND(G37&gt;0,L37&gt;0),L37/G37,"-")</f>
        <v>1.1177775634223979</v>
      </c>
    </row>
    <row r="38" spans="1:15" ht="75">
      <c r="A38" s="50" t="s">
        <v>72</v>
      </c>
      <c r="B38" s="62" t="s">
        <v>186</v>
      </c>
      <c r="C38" s="50" t="s">
        <v>5</v>
      </c>
      <c r="D38" s="63">
        <f aca="true" t="shared" si="6" ref="D38:I38">SUM(D39:D41)</f>
        <v>0</v>
      </c>
      <c r="E38" s="63">
        <f t="shared" si="6"/>
        <v>0</v>
      </c>
      <c r="F38" s="88">
        <f t="shared" si="6"/>
        <v>408.08200000000005</v>
      </c>
      <c r="G38" s="88">
        <f t="shared" si="6"/>
        <v>408.08200000000005</v>
      </c>
      <c r="H38" s="88">
        <f t="shared" si="6"/>
        <v>420.96922956000003</v>
      </c>
      <c r="I38" s="88">
        <f t="shared" si="6"/>
        <v>420.96922956000003</v>
      </c>
      <c r="J38" s="32" t="s">
        <v>232</v>
      </c>
      <c r="K38" s="61">
        <f>F38*$K$36*(1-$K$35)*($K$15/$F$15)</f>
        <v>420.9692295600001</v>
      </c>
      <c r="L38" s="88">
        <f>SUM(L39:L41)</f>
        <v>420.96922956000003</v>
      </c>
      <c r="M38" s="64" t="s">
        <v>236</v>
      </c>
      <c r="N38" s="29">
        <f>IF(AND(F38&gt;0,K38&gt;0),K38/F38,"-")</f>
        <v>1.0315800000000002</v>
      </c>
      <c r="O38" s="29">
        <f>IF(AND(G38&gt;0,L38&gt;0),L38/G38,"-")</f>
        <v>1.03158</v>
      </c>
    </row>
    <row r="39" spans="1:15" s="6" customFormat="1" ht="18.75">
      <c r="A39" s="39"/>
      <c r="B39" s="65" t="s">
        <v>183</v>
      </c>
      <c r="C39" s="39" t="s">
        <v>5</v>
      </c>
      <c r="D39" s="42"/>
      <c r="E39" s="42"/>
      <c r="F39" s="42">
        <v>29.643</v>
      </c>
      <c r="G39" s="42">
        <f>F39</f>
        <v>29.643</v>
      </c>
      <c r="H39" s="61">
        <f aca="true" t="shared" si="7" ref="H39:I41">F39*$K$36*(1-$K$35)*($K$15/$F$15)</f>
        <v>30.57912594</v>
      </c>
      <c r="I39" s="61">
        <f t="shared" si="7"/>
        <v>30.57912594</v>
      </c>
      <c r="J39" s="32"/>
      <c r="K39" s="61">
        <f>F39*$K$36*(1-$K$35)*($K$15/$F$15)</f>
        <v>30.57912594</v>
      </c>
      <c r="L39" s="61">
        <f>G39*$K$36*(1-$K$35)*($K$15/$F$15)</f>
        <v>30.57912594</v>
      </c>
      <c r="M39" s="64" t="s">
        <v>16</v>
      </c>
      <c r="N39" s="29">
        <f>IF(AND(F39&gt;0,K39&gt;0),K39/F39,"-")</f>
        <v>1.03158</v>
      </c>
      <c r="O39" s="29">
        <f>IF(AND(G39&gt;0,L39&gt;0),L39/G39,"-")</f>
        <v>1.03158</v>
      </c>
    </row>
    <row r="40" spans="1:15" s="6" customFormat="1" ht="75">
      <c r="A40" s="39"/>
      <c r="B40" s="65" t="s">
        <v>184</v>
      </c>
      <c r="C40" s="39" t="s">
        <v>5</v>
      </c>
      <c r="D40" s="42"/>
      <c r="E40" s="42"/>
      <c r="F40" s="42">
        <v>374.047</v>
      </c>
      <c r="G40" s="42">
        <v>374.047</v>
      </c>
      <c r="H40" s="61">
        <f t="shared" si="7"/>
        <v>385.85940426</v>
      </c>
      <c r="I40" s="61">
        <f t="shared" si="7"/>
        <v>385.85940426</v>
      </c>
      <c r="J40" s="32" t="s">
        <v>232</v>
      </c>
      <c r="K40" s="61">
        <f>F40*$K$36*(1-$K$35)*($K$15/$F$15)</f>
        <v>385.85940426</v>
      </c>
      <c r="L40" s="61">
        <f>G40*$K$36*(1-$K$35)*($K$15/$F$15)</f>
        <v>385.85940426</v>
      </c>
      <c r="M40" s="64" t="s">
        <v>236</v>
      </c>
      <c r="N40" s="29">
        <f>IF(AND(F40&gt;0,K40&gt;0),K40/F40,"-")</f>
        <v>1.03158</v>
      </c>
      <c r="O40" s="29">
        <f>IF(AND(G40&gt;0,L40&gt;0),L40/G40,"-")</f>
        <v>1.03158</v>
      </c>
    </row>
    <row r="41" spans="1:15" s="6" customFormat="1" ht="75">
      <c r="A41" s="39"/>
      <c r="B41" s="65" t="s">
        <v>185</v>
      </c>
      <c r="C41" s="39" t="s">
        <v>5</v>
      </c>
      <c r="D41" s="42"/>
      <c r="E41" s="42"/>
      <c r="F41" s="42">
        <v>4.392</v>
      </c>
      <c r="G41" s="42">
        <v>4.392</v>
      </c>
      <c r="H41" s="61">
        <f t="shared" si="7"/>
        <v>4.530699360000001</v>
      </c>
      <c r="I41" s="61">
        <f t="shared" si="7"/>
        <v>4.530699360000001</v>
      </c>
      <c r="J41" s="32" t="s">
        <v>232</v>
      </c>
      <c r="K41" s="61">
        <f>F41*$K$36*(1-$K$35)*($K$15/$F$15)</f>
        <v>4.530699360000001</v>
      </c>
      <c r="L41" s="61">
        <f>G41*$K$36*(1-$K$35)*($K$15/$F$15)</f>
        <v>4.530699360000001</v>
      </c>
      <c r="M41" s="64" t="s">
        <v>235</v>
      </c>
      <c r="N41" s="29">
        <f>IF(AND(F41&gt;0,K41&gt;0),K41/F41,"-")</f>
        <v>1.0315800000000002</v>
      </c>
      <c r="O41" s="29">
        <f>IF(AND(G41&gt;0,L41&gt;0),L41/G41,"-")</f>
        <v>1.0315800000000002</v>
      </c>
    </row>
    <row r="42" spans="1:15" ht="155.25" customHeight="1">
      <c r="A42" s="39" t="s">
        <v>73</v>
      </c>
      <c r="B42" s="66" t="s">
        <v>170</v>
      </c>
      <c r="C42" s="21" t="s">
        <v>5</v>
      </c>
      <c r="D42" s="42"/>
      <c r="E42" s="42"/>
      <c r="F42" s="42">
        <v>0</v>
      </c>
      <c r="G42" s="42">
        <v>0</v>
      </c>
      <c r="H42" s="42">
        <v>0</v>
      </c>
      <c r="I42" s="42">
        <v>0</v>
      </c>
      <c r="J42" s="32"/>
      <c r="K42" s="61">
        <f>F42*$K$36*(1-$K$35)*($K$15/$F$15)</f>
        <v>0</v>
      </c>
      <c r="L42" s="61"/>
      <c r="M42" s="64" t="s">
        <v>16</v>
      </c>
      <c r="N42" s="29" t="str">
        <f>IF(AND(F42&gt;0,K42&gt;0),K42/F42,"-")</f>
        <v>-</v>
      </c>
      <c r="O42" s="29" t="str">
        <f>IF(AND(G42&gt;0,L42&gt;0),L42/G42,"-")</f>
        <v>-</v>
      </c>
    </row>
    <row r="43" spans="1:15" s="6" customFormat="1" ht="56.25">
      <c r="A43" s="50" t="s">
        <v>74</v>
      </c>
      <c r="B43" s="62" t="s">
        <v>76</v>
      </c>
      <c r="C43" s="30" t="s">
        <v>5</v>
      </c>
      <c r="D43" s="31">
        <f>ROUND(D44,1)+ROUND(D47,1)+ROUND(D48,1)+ROUND(D51,1)</f>
        <v>0</v>
      </c>
      <c r="E43" s="31">
        <f>ROUND(E44,1)+ROUND(E47,1)+ROUND(E48,1)+ROUND(E51,1)</f>
        <v>856.3</v>
      </c>
      <c r="F43" s="31">
        <f>ROUND(F44,1)+ROUND(F47,1)+ROUND(F48,1)+ROUND(F51,1)</f>
        <v>830</v>
      </c>
      <c r="G43" s="31">
        <f>ROUND(G44,1)+ROUND(G47,1)+ROUND(G48,1)+ROUND(G51,1)</f>
        <v>830</v>
      </c>
      <c r="H43" s="31">
        <f>ROUND(H44,1)+ROUND(H47,1)+ROUND(H48,1)+ROUND(H51,1)-4.298</f>
        <v>852.002</v>
      </c>
      <c r="I43" s="31">
        <f>H43+107.6+101.6</f>
        <v>1061.202</v>
      </c>
      <c r="J43" s="32"/>
      <c r="K43" s="61">
        <f>F43*$K$36*(1-$K$35)*($K$15/$F$15)</f>
        <v>856.2114</v>
      </c>
      <c r="L43" s="31">
        <f>ROUND(L44,1)+ROUND(L47,1)+ROUND(L48,1)+ROUND(L51,1)</f>
        <v>1034.8999999999999</v>
      </c>
      <c r="M43" s="64"/>
      <c r="N43" s="29">
        <f>IF(AND(F43&gt;0,K43&gt;0),K43/F43,"-")</f>
        <v>1.03158</v>
      </c>
      <c r="O43" s="29">
        <f>IF(AND(G43&gt;0,L43&gt;0),L43/G43,"-")</f>
        <v>1.246867469879518</v>
      </c>
    </row>
    <row r="44" spans="1:15" ht="37.5">
      <c r="A44" s="50" t="s">
        <v>75</v>
      </c>
      <c r="B44" s="255" t="s">
        <v>33</v>
      </c>
      <c r="C44" s="50" t="s">
        <v>5</v>
      </c>
      <c r="D44" s="63"/>
      <c r="E44" s="63">
        <f>H44+H48+H47+H51</f>
        <v>856.2702079000082</v>
      </c>
      <c r="F44" s="63">
        <f>F45*F46*12/1000</f>
        <v>569.34</v>
      </c>
      <c r="G44" s="63">
        <f>G45*G46*12/1000</f>
        <v>569.34</v>
      </c>
      <c r="H44" s="63">
        <f>H45*H46*12/1000</f>
        <v>587.3197572000001</v>
      </c>
      <c r="I44" s="63">
        <f>I45*I46*12/1000</f>
        <v>676.8</v>
      </c>
      <c r="J44" s="256"/>
      <c r="K44" s="31">
        <f>F44*$K$36*(1-$K$35)*($K$15/$F$15)</f>
        <v>587.3197572</v>
      </c>
      <c r="L44" s="63">
        <f>L45*L46*12/1000</f>
        <v>669.78</v>
      </c>
      <c r="M44" s="254"/>
      <c r="N44" s="29">
        <f>IF(AND(F44&gt;0,K44&gt;0),K44/F44,"-")</f>
        <v>1.03158</v>
      </c>
      <c r="O44" s="29">
        <f>IF(AND(G44&gt;0,L44&gt;0),L44/G44,"-")</f>
        <v>1.1764147960796711</v>
      </c>
    </row>
    <row r="45" spans="1:15" ht="187.5">
      <c r="A45" s="238"/>
      <c r="B45" s="257" t="s">
        <v>34</v>
      </c>
      <c r="C45" s="238" t="s">
        <v>47</v>
      </c>
      <c r="D45" s="239"/>
      <c r="E45" s="239"/>
      <c r="F45" s="239">
        <v>9489</v>
      </c>
      <c r="G45" s="239">
        <v>9489</v>
      </c>
      <c r="H45" s="253">
        <f>F45*$K$36*(1-$K$35)*($K$15/$F$15)</f>
        <v>9788.662620000001</v>
      </c>
      <c r="I45" s="239">
        <v>11280</v>
      </c>
      <c r="J45" s="241" t="s">
        <v>238</v>
      </c>
      <c r="K45" s="253">
        <f>11280</f>
        <v>11280</v>
      </c>
      <c r="L45" s="253">
        <v>11163</v>
      </c>
      <c r="M45" s="254" t="s">
        <v>239</v>
      </c>
      <c r="N45" s="29">
        <f>IF(AND(F45&gt;0,K45&gt;0),K45/F45,"-")</f>
        <v>1.1887448624723365</v>
      </c>
      <c r="O45" s="29">
        <f>IF(AND(G45&gt;0,L45&gt;0),L45/G45,"-")</f>
        <v>1.1764147960796711</v>
      </c>
    </row>
    <row r="46" spans="1:15" ht="58.5" customHeight="1">
      <c r="A46" s="238"/>
      <c r="B46" s="257" t="s">
        <v>35</v>
      </c>
      <c r="C46" s="238" t="s">
        <v>48</v>
      </c>
      <c r="D46" s="239"/>
      <c r="E46" s="239"/>
      <c r="F46" s="239">
        <v>5</v>
      </c>
      <c r="G46" s="239">
        <v>5</v>
      </c>
      <c r="H46" s="239">
        <v>5</v>
      </c>
      <c r="I46" s="239">
        <v>5</v>
      </c>
      <c r="J46" s="241" t="s">
        <v>232</v>
      </c>
      <c r="K46" s="253">
        <v>5</v>
      </c>
      <c r="L46" s="253">
        <v>5</v>
      </c>
      <c r="M46" s="254" t="s">
        <v>236</v>
      </c>
      <c r="N46" s="29">
        <f>IF(AND(F46&gt;0,K46&gt;0),K46/F46,"-")</f>
        <v>1</v>
      </c>
      <c r="O46" s="29">
        <f>IF(AND(G46&gt;0,L46&gt;0),L46/G46,"-")</f>
        <v>1</v>
      </c>
    </row>
    <row r="47" spans="1:15" ht="187.5">
      <c r="A47" s="238" t="s">
        <v>77</v>
      </c>
      <c r="B47" s="252" t="s">
        <v>36</v>
      </c>
      <c r="C47" s="238" t="s">
        <v>5</v>
      </c>
      <c r="D47" s="239"/>
      <c r="E47" s="239"/>
      <c r="F47" s="239">
        <f>F44*20.3%</f>
        <v>115.57602000000001</v>
      </c>
      <c r="G47" s="239">
        <f>G44*20.3%</f>
        <v>115.57602000000001</v>
      </c>
      <c r="H47" s="253">
        <f>F47*$K$36*(1-$K$35)*($K$15/$F$15)</f>
        <v>119.22591071160002</v>
      </c>
      <c r="I47" s="239">
        <f>I44*30.2%</f>
        <v>204.3936</v>
      </c>
      <c r="J47" s="241" t="s">
        <v>240</v>
      </c>
      <c r="K47" s="253">
        <f>F47*$K$36*(1-$K$35)*($K$15/$F$15)</f>
        <v>119.22591071160002</v>
      </c>
      <c r="L47" s="253">
        <f>L44*30.3%</f>
        <v>202.94333999999998</v>
      </c>
      <c r="M47" s="254" t="s">
        <v>240</v>
      </c>
      <c r="N47" s="29">
        <f>IF(AND(F47&gt;0,K47&gt;0),K47/F47,"-")</f>
        <v>1.0315800000000002</v>
      </c>
      <c r="O47" s="29">
        <f>IF(AND(G47&gt;0,L47&gt;0),L47/G47,"-")</f>
        <v>1.75592947395143</v>
      </c>
    </row>
    <row r="48" spans="1:15" ht="75">
      <c r="A48" s="238" t="s">
        <v>78</v>
      </c>
      <c r="B48" s="252" t="s">
        <v>37</v>
      </c>
      <c r="C48" s="238" t="s">
        <v>5</v>
      </c>
      <c r="D48" s="239"/>
      <c r="E48" s="239"/>
      <c r="F48" s="239">
        <f>F49*F50*12/1000</f>
        <v>120.64920000000001</v>
      </c>
      <c r="G48" s="239">
        <f>G49*G50*12/1000</f>
        <v>120.62208</v>
      </c>
      <c r="H48" s="239">
        <f>H49*H50*12/1000</f>
        <v>124.45930173600003</v>
      </c>
      <c r="I48" s="239">
        <f>I49*I50*12/1000</f>
        <v>120.64920000000001</v>
      </c>
      <c r="J48" s="241" t="s">
        <v>232</v>
      </c>
      <c r="K48" s="253">
        <f>F48*$K$36*(1-$K$35)*($K$15/$F$15)</f>
        <v>124.45930173600001</v>
      </c>
      <c r="L48" s="239">
        <f>L49*L50*12/1000</f>
        <v>124.45920000000001</v>
      </c>
      <c r="M48" s="254" t="s">
        <v>236</v>
      </c>
      <c r="N48" s="29">
        <f>IF(AND(F48&gt;0,K48&gt;0),K48/F48,"-")</f>
        <v>1.0315800000000002</v>
      </c>
      <c r="O48" s="29">
        <f>IF(AND(G48&gt;0,L48&gt;0),L48/G48,"-")</f>
        <v>1.031811091302687</v>
      </c>
    </row>
    <row r="49" spans="1:15" ht="37.5">
      <c r="A49" s="238"/>
      <c r="B49" s="257" t="s">
        <v>38</v>
      </c>
      <c r="C49" s="238" t="s">
        <v>47</v>
      </c>
      <c r="D49" s="239"/>
      <c r="E49" s="239"/>
      <c r="F49" s="239">
        <v>20108.2</v>
      </c>
      <c r="G49" s="239">
        <v>20103.68</v>
      </c>
      <c r="H49" s="253">
        <f>F49*$K$36*(1-$K$35)*($K$15/$F$15)</f>
        <v>20743.216956000004</v>
      </c>
      <c r="I49" s="239">
        <v>20108.2</v>
      </c>
      <c r="J49" s="241"/>
      <c r="K49" s="253"/>
      <c r="L49" s="253">
        <v>20743.2</v>
      </c>
      <c r="M49" s="254" t="s">
        <v>16</v>
      </c>
      <c r="N49" s="29" t="str">
        <f>IF(AND(F49&gt;0,K49&gt;0),K49/F49,"-")</f>
        <v>-</v>
      </c>
      <c r="O49" s="29">
        <f>IF(AND(G49&gt;0,L49&gt;0),L49/G49,"-")</f>
        <v>1.031811091302687</v>
      </c>
    </row>
    <row r="50" spans="1:15" ht="56.25">
      <c r="A50" s="238"/>
      <c r="B50" s="257" t="s">
        <v>39</v>
      </c>
      <c r="C50" s="238" t="s">
        <v>48</v>
      </c>
      <c r="D50" s="239"/>
      <c r="E50" s="239"/>
      <c r="F50" s="239">
        <v>0.5</v>
      </c>
      <c r="G50" s="239">
        <v>0.5</v>
      </c>
      <c r="H50" s="239">
        <v>0.5</v>
      </c>
      <c r="I50" s="239">
        <v>0.5</v>
      </c>
      <c r="J50" s="241"/>
      <c r="K50" s="253"/>
      <c r="L50" s="253">
        <v>0.5</v>
      </c>
      <c r="M50" s="254" t="s">
        <v>16</v>
      </c>
      <c r="N50" s="29" t="str">
        <f>IF(AND(F50&gt;0,K50&gt;0),K50/F50,"-")</f>
        <v>-</v>
      </c>
      <c r="O50" s="29">
        <f>IF(AND(G50&gt;0,L50&gt;0),L50/G50,"-")</f>
        <v>1</v>
      </c>
    </row>
    <row r="51" spans="1:15" ht="37.5">
      <c r="A51" s="238" t="s">
        <v>79</v>
      </c>
      <c r="B51" s="252" t="s">
        <v>40</v>
      </c>
      <c r="C51" s="238" t="s">
        <v>5</v>
      </c>
      <c r="D51" s="239"/>
      <c r="E51" s="239"/>
      <c r="F51" s="239">
        <f>F48*20.3%</f>
        <v>24.491787600000002</v>
      </c>
      <c r="G51" s="239">
        <f>G48*20.3%</f>
        <v>24.48628224</v>
      </c>
      <c r="H51" s="253">
        <f>F51*$K$36*(1-$K$35)*($K$15/$F$15)</f>
        <v>25.265238252408</v>
      </c>
      <c r="I51" s="239">
        <f>I48*20.3%</f>
        <v>24.491787600000002</v>
      </c>
      <c r="J51" s="241"/>
      <c r="K51" s="253">
        <f>F51*$K$36*(1-$K$35)*($K$15/$F$15)</f>
        <v>25.265238252408</v>
      </c>
      <c r="L51" s="253">
        <f>L48*30.3%</f>
        <v>37.7111376</v>
      </c>
      <c r="M51" s="254" t="s">
        <v>16</v>
      </c>
      <c r="N51" s="29">
        <f>IF(AND(F51&gt;0,K51&gt;0),K51/F51,"-")</f>
        <v>1.03158</v>
      </c>
      <c r="O51" s="29">
        <f>IF(AND(G51&gt;0,L51&gt;0),L51/G51,"-")</f>
        <v>1.5400924170675572</v>
      </c>
    </row>
    <row r="52" spans="1:15" ht="100.5" customHeight="1">
      <c r="A52" s="238" t="s">
        <v>80</v>
      </c>
      <c r="B52" s="69" t="s">
        <v>82</v>
      </c>
      <c r="C52" s="238" t="s">
        <v>5</v>
      </c>
      <c r="D52" s="239"/>
      <c r="E52" s="239"/>
      <c r="F52" s="240">
        <v>608.36</v>
      </c>
      <c r="G52" s="240">
        <f>F52</f>
        <v>608.36</v>
      </c>
      <c r="H52" s="253">
        <f>F52*$K$36*(1-$K$35)*($K$15/$F$15)</f>
        <v>627.5720087999999</v>
      </c>
      <c r="I52" s="253">
        <f>G52*$K$36*(1-$K$35)*($K$15/$F$15)+120.1</f>
        <v>747.6720088</v>
      </c>
      <c r="J52" s="241" t="s">
        <v>244</v>
      </c>
      <c r="K52" s="253">
        <f>F52*$K$36*(1-$K$35)*($K$15/$F$15)</f>
        <v>627.5720087999999</v>
      </c>
      <c r="L52" s="253">
        <f>G52*$K$36*(1-$K$35)*($K$15/$F$15)</f>
        <v>627.5720087999999</v>
      </c>
      <c r="M52" s="254" t="s">
        <v>243</v>
      </c>
      <c r="N52" s="29">
        <f>IF(AND(F52&gt;0,K52&gt;0),K52/F52,"-")</f>
        <v>1.03158</v>
      </c>
      <c r="O52" s="29">
        <f>IF(AND(G52&gt;0,L52&gt;0),L52/G52,"-")</f>
        <v>1.03158</v>
      </c>
    </row>
    <row r="53" spans="1:15" s="6" customFormat="1" ht="112.5">
      <c r="A53" s="39" t="s">
        <v>81</v>
      </c>
      <c r="B53" s="66" t="s">
        <v>211</v>
      </c>
      <c r="C53" s="36" t="s">
        <v>5</v>
      </c>
      <c r="D53" s="37"/>
      <c r="E53" s="37"/>
      <c r="F53" s="84">
        <f>46.512+135.39+45</f>
        <v>226.902</v>
      </c>
      <c r="G53" s="84">
        <f>F53</f>
        <v>226.902</v>
      </c>
      <c r="H53" s="61">
        <f>F53*$K$36*(1-$K$35)*($K$15/$F$15)</f>
        <v>234.06756516</v>
      </c>
      <c r="I53" s="61">
        <f>G53*$K$36*(1-$K$35)*($K$15/$F$15)</f>
        <v>234.06756516</v>
      </c>
      <c r="J53" s="32" t="s">
        <v>232</v>
      </c>
      <c r="K53" s="61">
        <f>F53*$K$36*(1-$K$35)*($K$15/$F$15)</f>
        <v>234.06756516</v>
      </c>
      <c r="L53" s="61">
        <f>G53*$K$36*(1-$K$35)*($K$15/$F$15)</f>
        <v>234.06756516</v>
      </c>
      <c r="M53" s="64" t="s">
        <v>236</v>
      </c>
      <c r="N53" s="29">
        <f>IF(AND(F53&gt;0,K53&gt;0),K53/F53,"-")</f>
        <v>1.03158</v>
      </c>
      <c r="O53" s="29">
        <f>IF(AND(G53&gt;0,L53&gt;0),L53/G53,"-")</f>
        <v>1.03158</v>
      </c>
    </row>
    <row r="54" spans="1:15" s="6" customFormat="1" ht="19.5" customHeight="1">
      <c r="A54" s="68" t="s">
        <v>70</v>
      </c>
      <c r="B54" s="55" t="s">
        <v>187</v>
      </c>
      <c r="C54" s="30" t="s">
        <v>5</v>
      </c>
      <c r="D54" s="31">
        <f aca="true" t="shared" si="8" ref="D54:I54">ROUND(D55,1)+ROUND(D56,1)+ROUND(D57,1)+ROUND(D60,1)</f>
        <v>0</v>
      </c>
      <c r="E54" s="31">
        <f t="shared" si="8"/>
        <v>0</v>
      </c>
      <c r="F54" s="84">
        <f t="shared" si="8"/>
        <v>27.2</v>
      </c>
      <c r="G54" s="84">
        <f t="shared" si="8"/>
        <v>27.2</v>
      </c>
      <c r="H54" s="84">
        <f t="shared" si="8"/>
        <v>28.1</v>
      </c>
      <c r="I54" s="84">
        <f t="shared" si="8"/>
        <v>28.1</v>
      </c>
      <c r="J54" s="32" t="s">
        <v>241</v>
      </c>
      <c r="K54" s="61">
        <f>F54*$K$36*(1-$K$35)*($K$15/$F$15)</f>
        <v>28.058976</v>
      </c>
      <c r="L54" s="84">
        <f>ROUND(L55,1)+ROUND(L56,1)+ROUND(L57,1)+ROUND(L60,1)</f>
        <v>28.1</v>
      </c>
      <c r="M54" s="64" t="s">
        <v>241</v>
      </c>
      <c r="N54" s="29">
        <f>IF(AND(F54&gt;0,K54&gt;0),K54/F54,"-")</f>
        <v>1.0315800000000002</v>
      </c>
      <c r="O54" s="29">
        <f>IF(AND(G54&gt;0,L54&gt;0),L54/G54,"-")</f>
        <v>1.0330882352941178</v>
      </c>
    </row>
    <row r="55" spans="1:15" s="6" customFormat="1" ht="59.25" customHeight="1">
      <c r="A55" s="39" t="s">
        <v>85</v>
      </c>
      <c r="B55" s="66" t="s">
        <v>171</v>
      </c>
      <c r="C55" s="39" t="s">
        <v>5</v>
      </c>
      <c r="D55" s="42"/>
      <c r="E55" s="42"/>
      <c r="F55" s="88">
        <v>27.249</v>
      </c>
      <c r="G55" s="88">
        <f>F55</f>
        <v>27.249</v>
      </c>
      <c r="H55" s="61">
        <f>F55*$K$36*(1-$K$35)*($K$15/$F$15)</f>
        <v>28.10952342</v>
      </c>
      <c r="I55" s="61">
        <f>G55*$K$36*(1-$K$35)*($K$15/$F$15)</f>
        <v>28.10952342</v>
      </c>
      <c r="J55" s="32" t="s">
        <v>234</v>
      </c>
      <c r="K55" s="61">
        <f>F55*$K$36*(1-$K$35)*($K$15/$F$15)</f>
        <v>28.10952342</v>
      </c>
      <c r="L55" s="61">
        <f>G55*$K$36*(1-$K$35)*($K$15/$F$15)</f>
        <v>28.10952342</v>
      </c>
      <c r="M55" s="64" t="s">
        <v>236</v>
      </c>
      <c r="N55" s="29">
        <f>IF(AND(F55&gt;0,K55&gt;0),K55/F55,"-")</f>
        <v>1.03158</v>
      </c>
      <c r="O55" s="29">
        <f>IF(AND(G55&gt;0,L55&gt;0),L55/G55,"-")</f>
        <v>1.03158</v>
      </c>
    </row>
    <row r="56" spans="1:15" s="6" customFormat="1" ht="56.25" customHeight="1">
      <c r="A56" s="39" t="s">
        <v>86</v>
      </c>
      <c r="B56" s="66" t="s">
        <v>172</v>
      </c>
      <c r="C56" s="39" t="s">
        <v>5</v>
      </c>
      <c r="D56" s="42"/>
      <c r="E56" s="42"/>
      <c r="F56" s="42"/>
      <c r="G56" s="42"/>
      <c r="H56" s="42"/>
      <c r="I56" s="42"/>
      <c r="J56" s="32"/>
      <c r="K56" s="61">
        <f>F56*$K$36*(1-$K$35)*($K$15/$F$15)</f>
        <v>0</v>
      </c>
      <c r="L56" s="61"/>
      <c r="M56" s="64" t="s">
        <v>16</v>
      </c>
      <c r="N56" s="29" t="str">
        <f>IF(AND(F56&gt;0,K56&gt;0),K56/F56,"-")</f>
        <v>-</v>
      </c>
      <c r="O56" s="29" t="str">
        <f>IF(AND(G56&gt;0,L56&gt;0),L56/G56,"-")</f>
        <v>-</v>
      </c>
    </row>
    <row r="57" spans="1:15" s="6" customFormat="1" ht="39.75" customHeight="1">
      <c r="A57" s="39" t="s">
        <v>87</v>
      </c>
      <c r="B57" s="66" t="s">
        <v>83</v>
      </c>
      <c r="C57" s="39" t="s">
        <v>5</v>
      </c>
      <c r="D57" s="42"/>
      <c r="E57" s="42"/>
      <c r="F57" s="42"/>
      <c r="G57" s="42"/>
      <c r="H57" s="42"/>
      <c r="I57" s="42"/>
      <c r="J57" s="32"/>
      <c r="K57" s="61">
        <f>F57*$K$36*(1-$K$35)*($K$15/$F$15)</f>
        <v>0</v>
      </c>
      <c r="L57" s="61"/>
      <c r="M57" s="64" t="s">
        <v>16</v>
      </c>
      <c r="N57" s="29" t="str">
        <f>IF(AND(F57&gt;0,K57&gt;0),K57/F57,"-")</f>
        <v>-</v>
      </c>
      <c r="O57" s="29" t="str">
        <f>IF(AND(G57&gt;0,L57&gt;0),L57/G57,"-")</f>
        <v>-</v>
      </c>
    </row>
    <row r="58" spans="1:15" s="6" customFormat="1" ht="39" customHeight="1">
      <c r="A58" s="39"/>
      <c r="B58" s="65" t="s">
        <v>89</v>
      </c>
      <c r="C58" s="21" t="s">
        <v>47</v>
      </c>
      <c r="D58" s="42"/>
      <c r="E58" s="42"/>
      <c r="F58" s="42"/>
      <c r="G58" s="42"/>
      <c r="H58" s="42"/>
      <c r="I58" s="42"/>
      <c r="J58" s="32"/>
      <c r="K58" s="61">
        <f>F58*$K$36*(1-$K$35)*($K$15/$F$15)</f>
        <v>0</v>
      </c>
      <c r="L58" s="61"/>
      <c r="M58" s="64" t="s">
        <v>16</v>
      </c>
      <c r="N58" s="29" t="str">
        <f>IF(AND(F58&gt;0,K58&gt;0),K58/F58,"-")</f>
        <v>-</v>
      </c>
      <c r="O58" s="29" t="str">
        <f>IF(AND(G58&gt;0,L58&gt;0),L58/G58,"-")</f>
        <v>-</v>
      </c>
    </row>
    <row r="59" spans="1:15" s="6" customFormat="1" ht="39.75" customHeight="1">
      <c r="A59" s="39"/>
      <c r="B59" s="65" t="s">
        <v>90</v>
      </c>
      <c r="C59" s="39" t="s">
        <v>48</v>
      </c>
      <c r="D59" s="42"/>
      <c r="E59" s="42"/>
      <c r="F59" s="42"/>
      <c r="G59" s="42"/>
      <c r="H59" s="42"/>
      <c r="I59" s="42"/>
      <c r="J59" s="32"/>
      <c r="K59" s="61"/>
      <c r="L59" s="61"/>
      <c r="M59" s="64" t="s">
        <v>16</v>
      </c>
      <c r="N59" s="29" t="str">
        <f>IF(AND(F59&gt;0,K59&gt;0),K59/F59,"-")</f>
        <v>-</v>
      </c>
      <c r="O59" s="29" t="str">
        <f>IF(AND(G59&gt;0,L59&gt;0),L59/G59,"-")</f>
        <v>-</v>
      </c>
    </row>
    <row r="60" spans="1:15" s="6" customFormat="1" ht="37.5">
      <c r="A60" s="39" t="s">
        <v>88</v>
      </c>
      <c r="B60" s="66" t="s">
        <v>84</v>
      </c>
      <c r="C60" s="39" t="s">
        <v>5</v>
      </c>
      <c r="D60" s="42"/>
      <c r="E60" s="42"/>
      <c r="F60" s="42"/>
      <c r="G60" s="42"/>
      <c r="H60" s="42"/>
      <c r="I60" s="42"/>
      <c r="J60" s="32"/>
      <c r="K60" s="61">
        <f>F60*$K$36*(1-$K$35)*($K$15/$F$15)</f>
        <v>0</v>
      </c>
      <c r="L60" s="61"/>
      <c r="M60" s="64" t="s">
        <v>16</v>
      </c>
      <c r="N60" s="29" t="str">
        <f>IF(AND(F60&gt;0,K60&gt;0),K60/F60,"-")</f>
        <v>-</v>
      </c>
      <c r="O60" s="29" t="str">
        <f>IF(AND(G60&gt;0,L60&gt;0),L60/G60,"-")</f>
        <v>-</v>
      </c>
    </row>
    <row r="61" spans="1:15" s="6" customFormat="1" ht="65.25" customHeight="1">
      <c r="A61" s="50" t="s">
        <v>71</v>
      </c>
      <c r="B61" s="55" t="s">
        <v>148</v>
      </c>
      <c r="C61" s="30" t="s">
        <v>5</v>
      </c>
      <c r="D61" s="31">
        <f aca="true" t="shared" si="9" ref="D61:I61">ROUND(D62,1)+ROUND(D65,1)+ROUND(D66,1)+ROUND(D74,1)+ROUND(D75,1)+ROUND(D76,1)+ROUND(D77,1)+ROUND(D78,1)+ROUND(D79,1)</f>
        <v>0</v>
      </c>
      <c r="E61" s="31">
        <f t="shared" si="9"/>
        <v>0</v>
      </c>
      <c r="F61" s="31">
        <f t="shared" si="9"/>
        <v>22.700000000000003</v>
      </c>
      <c r="G61" s="31">
        <f t="shared" si="9"/>
        <v>22.700000000000003</v>
      </c>
      <c r="H61" s="31">
        <f t="shared" si="9"/>
        <v>23.4</v>
      </c>
      <c r="I61" s="31">
        <f t="shared" si="9"/>
        <v>23.4</v>
      </c>
      <c r="J61" s="32" t="s">
        <v>232</v>
      </c>
      <c r="K61" s="61">
        <f>F61*$K$36*(1-$K$35)*($K$15/$F$15)</f>
        <v>23.416866000000006</v>
      </c>
      <c r="L61" s="31">
        <f>ROUND(L62,1)+ROUND(L65,1)+ROUND(L66,1)+ROUND(L74,1)+ROUND(L75,1)+ROUND(L76,1)+ROUND(L77,1)+ROUND(L78,1)+ROUND(L79,1)</f>
        <v>23.4</v>
      </c>
      <c r="M61" s="64" t="s">
        <v>236</v>
      </c>
      <c r="N61" s="29">
        <f>IF(AND(F61&gt;0,K61&gt;0),K61/F61,"-")</f>
        <v>1.0315800000000002</v>
      </c>
      <c r="O61" s="29">
        <f>IF(AND(G61&gt;0,L61&gt;0),L61/G61,"-")</f>
        <v>1.0308370044052861</v>
      </c>
    </row>
    <row r="62" spans="1:15" s="6" customFormat="1" ht="37.5">
      <c r="A62" s="39" t="s">
        <v>91</v>
      </c>
      <c r="B62" s="66" t="s">
        <v>49</v>
      </c>
      <c r="C62" s="39" t="s">
        <v>5</v>
      </c>
      <c r="D62" s="42"/>
      <c r="E62" s="42"/>
      <c r="F62" s="42"/>
      <c r="G62" s="42"/>
      <c r="H62" s="42"/>
      <c r="I62" s="42"/>
      <c r="J62" s="32"/>
      <c r="K62" s="61">
        <f>F62*$K$36*(1-$K$35)*($K$15/$F$15)</f>
        <v>0</v>
      </c>
      <c r="L62" s="61"/>
      <c r="M62" s="64" t="s">
        <v>16</v>
      </c>
      <c r="N62" s="29" t="str">
        <f>IF(AND(F62&gt;0,K62&gt;0),K62/F62,"-")</f>
        <v>-</v>
      </c>
      <c r="O62" s="29" t="str">
        <f>IF(AND(G62&gt;0,L62&gt;0),L62/G62,"-")</f>
        <v>-</v>
      </c>
    </row>
    <row r="63" spans="1:15" s="6" customFormat="1" ht="37.5">
      <c r="A63" s="39"/>
      <c r="B63" s="65" t="s">
        <v>50</v>
      </c>
      <c r="C63" s="21" t="s">
        <v>47</v>
      </c>
      <c r="D63" s="42"/>
      <c r="E63" s="42"/>
      <c r="F63" s="42"/>
      <c r="G63" s="42"/>
      <c r="H63" s="42"/>
      <c r="I63" s="42"/>
      <c r="J63" s="32"/>
      <c r="K63" s="61">
        <f>F63*$K$36*(1-$K$35)*($K$15/$F$15)</f>
        <v>0</v>
      </c>
      <c r="L63" s="61"/>
      <c r="M63" s="64" t="s">
        <v>16</v>
      </c>
      <c r="N63" s="29" t="str">
        <f>IF(AND(F63&gt;0,K63&gt;0),K63/F63,"-")</f>
        <v>-</v>
      </c>
      <c r="O63" s="29" t="str">
        <f>IF(AND(G63&gt;0,L63&gt;0),L63/G63,"-")</f>
        <v>-</v>
      </c>
    </row>
    <row r="64" spans="1:15" s="6" customFormat="1" ht="45.75" customHeight="1">
      <c r="A64" s="39"/>
      <c r="B64" s="65" t="s">
        <v>51</v>
      </c>
      <c r="C64" s="39" t="s">
        <v>48</v>
      </c>
      <c r="D64" s="42"/>
      <c r="E64" s="42"/>
      <c r="F64" s="42"/>
      <c r="G64" s="42"/>
      <c r="H64" s="42"/>
      <c r="I64" s="42"/>
      <c r="J64" s="32"/>
      <c r="K64" s="61"/>
      <c r="L64" s="61"/>
      <c r="M64" s="64" t="s">
        <v>16</v>
      </c>
      <c r="N64" s="29" t="str">
        <f>IF(AND(F64&gt;0,K64&gt;0),K64/F64,"-")</f>
        <v>-</v>
      </c>
      <c r="O64" s="29" t="str">
        <f>IF(AND(G64&gt;0,L64&gt;0),L64/G64,"-")</f>
        <v>-</v>
      </c>
    </row>
    <row r="65" spans="1:15" s="6" customFormat="1" ht="37.5">
      <c r="A65" s="39" t="s">
        <v>92</v>
      </c>
      <c r="B65" s="66" t="s">
        <v>52</v>
      </c>
      <c r="C65" s="39" t="s">
        <v>5</v>
      </c>
      <c r="D65" s="42"/>
      <c r="E65" s="42"/>
      <c r="F65" s="42"/>
      <c r="G65" s="42"/>
      <c r="H65" s="42"/>
      <c r="I65" s="42"/>
      <c r="J65" s="32"/>
      <c r="K65" s="61">
        <f>F65*$K$36*(1-$K$35)*($K$15/$F$15)</f>
        <v>0</v>
      </c>
      <c r="L65" s="61"/>
      <c r="M65" s="64" t="s">
        <v>16</v>
      </c>
      <c r="N65" s="29" t="str">
        <f>IF(AND(F65&gt;0,K65&gt;0),K65/F65,"-")</f>
        <v>-</v>
      </c>
      <c r="O65" s="29" t="str">
        <f>IF(AND(G65&gt;0,L65&gt;0),L65/G65,"-")</f>
        <v>-</v>
      </c>
    </row>
    <row r="66" spans="1:15" s="6" customFormat="1" ht="93.75">
      <c r="A66" s="50" t="s">
        <v>93</v>
      </c>
      <c r="B66" s="62" t="s">
        <v>174</v>
      </c>
      <c r="C66" s="50" t="s">
        <v>5</v>
      </c>
      <c r="D66" s="31">
        <f>SUM(D67:D73)</f>
        <v>0</v>
      </c>
      <c r="E66" s="31">
        <f>SUM(E67:E73)</f>
        <v>0</v>
      </c>
      <c r="F66" s="84">
        <f>SUM(F67:F73)</f>
        <v>16.797</v>
      </c>
      <c r="G66" s="84">
        <f>SUM(G67:G73)</f>
        <v>16.797</v>
      </c>
      <c r="H66" s="84">
        <f>SUM(H67:H73)</f>
        <v>17.32744926</v>
      </c>
      <c r="I66" s="84">
        <f>I67+I68</f>
        <v>17.32744926</v>
      </c>
      <c r="J66" s="32" t="s">
        <v>232</v>
      </c>
      <c r="K66" s="61">
        <f>F66*$K$36*(1-$K$35)*($K$15/$F$15)</f>
        <v>17.32744926</v>
      </c>
      <c r="L66" s="61">
        <f>G66*$K$36*(1-$K$35)*($K$15/$F$15)</f>
        <v>17.32744926</v>
      </c>
      <c r="M66" s="64" t="s">
        <v>236</v>
      </c>
      <c r="N66" s="29">
        <f>IF(AND(F66&gt;0,K66&gt;0),K66/F66,"-")</f>
        <v>1.0315800000000002</v>
      </c>
      <c r="O66" s="29">
        <f>IF(AND(G66&gt;0,L66&gt;0),L66/G66,"-")</f>
        <v>1.0315800000000002</v>
      </c>
    </row>
    <row r="67" spans="1:15" s="6" customFormat="1" ht="75">
      <c r="A67" s="39"/>
      <c r="B67" s="67" t="s">
        <v>21</v>
      </c>
      <c r="C67" s="39" t="s">
        <v>5</v>
      </c>
      <c r="D67" s="42"/>
      <c r="E67" s="42"/>
      <c r="F67" s="82">
        <v>1.8</v>
      </c>
      <c r="G67" s="82">
        <v>1.8</v>
      </c>
      <c r="H67" s="37">
        <f>F67*$K$36*(1-$K$35)*($K$15/$F$15)</f>
        <v>1.8568440000000002</v>
      </c>
      <c r="I67" s="37">
        <f>G67*$K$36*(1-$K$35)*($K$15/$F$15)</f>
        <v>1.8568440000000002</v>
      </c>
      <c r="J67" s="32" t="s">
        <v>242</v>
      </c>
      <c r="K67" s="61">
        <f>F67*$K$36*(1-$K$35)*($K$15/$F$15)</f>
        <v>1.8568440000000002</v>
      </c>
      <c r="L67" s="61">
        <f>G67*$K$36*(1-$K$35)*($K$15/$F$15)</f>
        <v>1.8568440000000002</v>
      </c>
      <c r="M67" s="64" t="s">
        <v>236</v>
      </c>
      <c r="N67" s="29">
        <f>IF(AND(F67&gt;0,K67&gt;0),K67/F67,"-")</f>
        <v>1.0315800000000002</v>
      </c>
      <c r="O67" s="29">
        <f>IF(AND(G67&gt;0,L67&gt;0),L67/G67,"-")</f>
        <v>1.0315800000000002</v>
      </c>
    </row>
    <row r="68" spans="1:15" s="6" customFormat="1" ht="75">
      <c r="A68" s="39"/>
      <c r="B68" s="67" t="s">
        <v>22</v>
      </c>
      <c r="C68" s="39" t="s">
        <v>5</v>
      </c>
      <c r="D68" s="42"/>
      <c r="E68" s="42"/>
      <c r="F68" s="82">
        <v>14.997</v>
      </c>
      <c r="G68" s="82">
        <v>14.997</v>
      </c>
      <c r="H68" s="87">
        <f>F68*$K$36*(1-$K$35)*($K$15/$F$15)</f>
        <v>15.470605260000001</v>
      </c>
      <c r="I68" s="87">
        <f>G68*$K$36*(1-$K$35)*($K$15/$F$15)</f>
        <v>15.470605260000001</v>
      </c>
      <c r="J68" s="32" t="s">
        <v>242</v>
      </c>
      <c r="K68" s="61">
        <f>F68*$K$36*(1-$K$35)*($K$15/$F$15)</f>
        <v>15.470605260000001</v>
      </c>
      <c r="L68" s="61">
        <f>G68*$K$36*(1-$K$35)*($K$15/$F$15)</f>
        <v>15.470605260000001</v>
      </c>
      <c r="M68" s="64" t="s">
        <v>236</v>
      </c>
      <c r="N68" s="29">
        <f>IF(AND(F68&gt;0,K68&gt;0),K68/F68,"-")</f>
        <v>1.0315800000000002</v>
      </c>
      <c r="O68" s="29">
        <f>IF(AND(G68&gt;0,L68&gt;0),L68/G68,"-")</f>
        <v>1.0315800000000002</v>
      </c>
    </row>
    <row r="69" spans="1:15" s="6" customFormat="1" ht="18.75">
      <c r="A69" s="39"/>
      <c r="B69" s="67" t="s">
        <v>23</v>
      </c>
      <c r="C69" s="39" t="s">
        <v>5</v>
      </c>
      <c r="D69" s="42"/>
      <c r="E69" s="42"/>
      <c r="F69" s="42"/>
      <c r="G69" s="42"/>
      <c r="H69" s="42"/>
      <c r="I69" s="42"/>
      <c r="J69" s="32"/>
      <c r="K69" s="61">
        <f>F69*$K$36*(1-$K$35)*($K$15/$F$15)</f>
        <v>0</v>
      </c>
      <c r="L69" s="61"/>
      <c r="M69" s="64" t="s">
        <v>16</v>
      </c>
      <c r="N69" s="29" t="str">
        <f>IF(AND(F69&gt;0,K69&gt;0),K69/F69,"-")</f>
        <v>-</v>
      </c>
      <c r="O69" s="29" t="str">
        <f>IF(AND(G69&gt;0,L69&gt;0),L69/G69,"-")</f>
        <v>-</v>
      </c>
    </row>
    <row r="70" spans="1:15" s="6" customFormat="1" ht="18.75">
      <c r="A70" s="39"/>
      <c r="B70" s="67" t="s">
        <v>24</v>
      </c>
      <c r="C70" s="39" t="s">
        <v>5</v>
      </c>
      <c r="D70" s="42"/>
      <c r="E70" s="42"/>
      <c r="F70" s="42"/>
      <c r="G70" s="42"/>
      <c r="H70" s="42"/>
      <c r="I70" s="42"/>
      <c r="J70" s="32"/>
      <c r="K70" s="61">
        <f>F70*$K$36*(1-$K$35)*($K$15/$F$15)</f>
        <v>0</v>
      </c>
      <c r="L70" s="61"/>
      <c r="M70" s="64" t="s">
        <v>16</v>
      </c>
      <c r="N70" s="29" t="str">
        <f>IF(AND(F70&gt;0,K70&gt;0),K70/F70,"-")</f>
        <v>-</v>
      </c>
      <c r="O70" s="29" t="str">
        <f>IF(AND(G70&gt;0,L70&gt;0),L70/G70,"-")</f>
        <v>-</v>
      </c>
    </row>
    <row r="71" spans="1:15" s="6" customFormat="1" ht="18.75">
      <c r="A71" s="39"/>
      <c r="B71" s="67" t="s">
        <v>175</v>
      </c>
      <c r="C71" s="39" t="s">
        <v>5</v>
      </c>
      <c r="D71" s="42"/>
      <c r="E71" s="42"/>
      <c r="F71" s="42"/>
      <c r="G71" s="42"/>
      <c r="H71" s="42"/>
      <c r="I71" s="42"/>
      <c r="J71" s="32"/>
      <c r="K71" s="61">
        <f>F71*$K$36*(1-$K$35)*($K$15/$F$15)</f>
        <v>0</v>
      </c>
      <c r="L71" s="61"/>
      <c r="M71" s="64" t="s">
        <v>16</v>
      </c>
      <c r="N71" s="29" t="str">
        <f>IF(AND(F71&gt;0,K71&gt;0),K71/F71,"-")</f>
        <v>-</v>
      </c>
      <c r="O71" s="29" t="str">
        <f>IF(AND(G71&gt;0,L71&gt;0),L71/G71,"-")</f>
        <v>-</v>
      </c>
    </row>
    <row r="72" spans="1:15" s="6" customFormat="1" ht="18.75">
      <c r="A72" s="39"/>
      <c r="B72" s="67" t="s">
        <v>25</v>
      </c>
      <c r="C72" s="39" t="s">
        <v>5</v>
      </c>
      <c r="D72" s="42"/>
      <c r="E72" s="42"/>
      <c r="F72" s="42"/>
      <c r="G72" s="42"/>
      <c r="H72" s="42"/>
      <c r="I72" s="42"/>
      <c r="J72" s="32"/>
      <c r="K72" s="61">
        <f>F72*$K$36*(1-$K$35)*($K$15/$F$15)</f>
        <v>0</v>
      </c>
      <c r="L72" s="61"/>
      <c r="M72" s="64" t="s">
        <v>16</v>
      </c>
      <c r="N72" s="29" t="str">
        <f>IF(AND(F72&gt;0,K72&gt;0),K72/F72,"-")</f>
        <v>-</v>
      </c>
      <c r="O72" s="29" t="str">
        <f>IF(AND(G72&gt;0,L72&gt;0),L72/G72,"-")</f>
        <v>-</v>
      </c>
    </row>
    <row r="73" spans="1:15" s="6" customFormat="1" ht="18.75">
      <c r="A73" s="39"/>
      <c r="B73" s="67" t="s">
        <v>176</v>
      </c>
      <c r="C73" s="39" t="s">
        <v>5</v>
      </c>
      <c r="D73" s="42"/>
      <c r="E73" s="42"/>
      <c r="F73" s="42"/>
      <c r="G73" s="42"/>
      <c r="H73" s="42"/>
      <c r="I73" s="42"/>
      <c r="J73" s="32"/>
      <c r="K73" s="61">
        <f>F73*$K$36*(1-$K$35)*($K$15/$F$15)</f>
        <v>0</v>
      </c>
      <c r="L73" s="61"/>
      <c r="M73" s="64" t="s">
        <v>16</v>
      </c>
      <c r="N73" s="29" t="str">
        <f>IF(AND(F73&gt;0,K73&gt;0),K73/F73,"-")</f>
        <v>-</v>
      </c>
      <c r="O73" s="29" t="str">
        <f>IF(AND(G73&gt;0,L73&gt;0),L73/G73,"-")</f>
        <v>-</v>
      </c>
    </row>
    <row r="74" spans="1:15" s="6" customFormat="1" ht="112.5">
      <c r="A74" s="39" t="s">
        <v>177</v>
      </c>
      <c r="B74" s="69" t="s">
        <v>191</v>
      </c>
      <c r="C74" s="39" t="s">
        <v>5</v>
      </c>
      <c r="D74" s="42"/>
      <c r="E74" s="42"/>
      <c r="F74" s="42"/>
      <c r="G74" s="42"/>
      <c r="H74" s="42"/>
      <c r="I74" s="42"/>
      <c r="J74" s="32"/>
      <c r="K74" s="61">
        <f>F74*$K$36*(1-$K$35)*($K$15/$F$15)</f>
        <v>0</v>
      </c>
      <c r="L74" s="61"/>
      <c r="M74" s="64"/>
      <c r="N74" s="29" t="str">
        <f>IF(AND(F74&gt;0,K74&gt;0),K74/F74,"-")</f>
        <v>-</v>
      </c>
      <c r="O74" s="29" t="str">
        <f>IF(AND(G74&gt;0,L74&gt;0),L74/G74,"-")</f>
        <v>-</v>
      </c>
    </row>
    <row r="75" spans="1:15" s="6" customFormat="1" ht="18.75">
      <c r="A75" s="39" t="s">
        <v>178</v>
      </c>
      <c r="B75" s="66" t="s">
        <v>26</v>
      </c>
      <c r="C75" s="39" t="s">
        <v>5</v>
      </c>
      <c r="D75" s="42"/>
      <c r="E75" s="42"/>
      <c r="F75" s="42"/>
      <c r="G75" s="42"/>
      <c r="H75" s="42"/>
      <c r="I75" s="42"/>
      <c r="J75" s="32"/>
      <c r="K75" s="61">
        <f>F75*$K$36*(1-$K$35)*($K$15/$F$15)</f>
        <v>0</v>
      </c>
      <c r="L75" s="61"/>
      <c r="M75" s="64" t="s">
        <v>16</v>
      </c>
      <c r="N75" s="29" t="str">
        <f>IF(AND(F75&gt;0,K75&gt;0),K75/F75,"-")</f>
        <v>-</v>
      </c>
      <c r="O75" s="29" t="str">
        <f>IF(AND(G75&gt;0,L75&gt;0),L75/G75,"-")</f>
        <v>-</v>
      </c>
    </row>
    <row r="76" spans="1:15" s="6" customFormat="1" ht="75">
      <c r="A76" s="39" t="s">
        <v>179</v>
      </c>
      <c r="B76" s="66" t="s">
        <v>27</v>
      </c>
      <c r="C76" s="39" t="s">
        <v>5</v>
      </c>
      <c r="D76" s="42"/>
      <c r="E76" s="42"/>
      <c r="F76" s="88">
        <v>5.898</v>
      </c>
      <c r="G76" s="88">
        <v>5.898</v>
      </c>
      <c r="H76" s="61">
        <f>F76*$K$36*(1-$K$35)*($K$15/$F$15)</f>
        <v>6.08425884</v>
      </c>
      <c r="I76" s="61">
        <f>G76*$K$36*(1-$K$35)*($K$15/$F$15)</f>
        <v>6.08425884</v>
      </c>
      <c r="J76" s="32" t="s">
        <v>232</v>
      </c>
      <c r="K76" s="61">
        <f>F76*$K$36*(1-$K$35)*($K$15/$F$15)</f>
        <v>6.08425884</v>
      </c>
      <c r="L76" s="61">
        <f>G76*$K$36*(1-$K$35)*($K$15/$F$15)</f>
        <v>6.08425884</v>
      </c>
      <c r="M76" s="64" t="s">
        <v>236</v>
      </c>
      <c r="N76" s="29">
        <f>IF(AND(F76&gt;0,K76&gt;0),K76/F76,"-")</f>
        <v>1.0315800000000002</v>
      </c>
      <c r="O76" s="29">
        <f>IF(AND(G76&gt;0,L76&gt;0),L76/G76,"-")</f>
        <v>1.0315800000000002</v>
      </c>
    </row>
    <row r="77" spans="1:15" s="6" customFormat="1" ht="187.5">
      <c r="A77" s="39" t="s">
        <v>180</v>
      </c>
      <c r="B77" s="66" t="s">
        <v>206</v>
      </c>
      <c r="C77" s="39" t="s">
        <v>5</v>
      </c>
      <c r="D77" s="42"/>
      <c r="E77" s="42"/>
      <c r="F77" s="42"/>
      <c r="G77" s="42"/>
      <c r="H77" s="42"/>
      <c r="I77" s="42"/>
      <c r="J77" s="32"/>
      <c r="K77" s="61">
        <f>F77*$K$36*(1-$K$35)*($K$15/$F$15)</f>
        <v>0</v>
      </c>
      <c r="L77" s="61"/>
      <c r="M77" s="64" t="s">
        <v>16</v>
      </c>
      <c r="N77" s="29" t="str">
        <f>IF(AND(F77&gt;0,K77&gt;0),K77/F77,"-")</f>
        <v>-</v>
      </c>
      <c r="O77" s="29" t="str">
        <f>IF(AND(G77&gt;0,L77&gt;0),L77/G77,"-")</f>
        <v>-</v>
      </c>
    </row>
    <row r="78" spans="1:15" s="6" customFormat="1" ht="37.5">
      <c r="A78" s="39" t="s">
        <v>181</v>
      </c>
      <c r="B78" s="66" t="s">
        <v>173</v>
      </c>
      <c r="C78" s="39" t="s">
        <v>5</v>
      </c>
      <c r="D78" s="42"/>
      <c r="E78" s="42"/>
      <c r="F78" s="42"/>
      <c r="G78" s="42"/>
      <c r="H78" s="42"/>
      <c r="I78" s="42"/>
      <c r="J78" s="32"/>
      <c r="K78" s="61">
        <f>F78*$K$36*(1-$K$35)*($K$15/$F$15)</f>
        <v>0</v>
      </c>
      <c r="L78" s="61"/>
      <c r="M78" s="64" t="s">
        <v>16</v>
      </c>
      <c r="N78" s="29" t="str">
        <f>IF(AND(F78&gt;0,K78&gt;0),K78/F78,"-")</f>
        <v>-</v>
      </c>
      <c r="O78" s="29" t="str">
        <f>IF(AND(G78&gt;0,L78&gt;0),L78/G78,"-")</f>
        <v>-</v>
      </c>
    </row>
    <row r="79" spans="1:15" s="6" customFormat="1" ht="18.75">
      <c r="A79" s="39" t="s">
        <v>182</v>
      </c>
      <c r="B79" s="66" t="s">
        <v>147</v>
      </c>
      <c r="C79" s="39" t="s">
        <v>5</v>
      </c>
      <c r="D79" s="42"/>
      <c r="E79" s="42"/>
      <c r="F79" s="42"/>
      <c r="G79" s="42"/>
      <c r="H79" s="42"/>
      <c r="I79" s="42"/>
      <c r="J79" s="32"/>
      <c r="K79" s="61">
        <f>F79*$K$36*(1-$K$35)*($K$15/$F$15)</f>
        <v>0</v>
      </c>
      <c r="L79" s="61"/>
      <c r="M79" s="64" t="s">
        <v>16</v>
      </c>
      <c r="N79" s="29" t="str">
        <f>IF(AND(F79&gt;0,K79&gt;0),K79/F79,"-")</f>
        <v>-</v>
      </c>
      <c r="O79" s="29" t="str">
        <f>IF(AND(G79&gt;0,L79&gt;0),L79/G79,"-")</f>
        <v>-</v>
      </c>
    </row>
    <row r="80" spans="1:15" s="6" customFormat="1" ht="60" customHeight="1">
      <c r="A80" s="50" t="s">
        <v>67</v>
      </c>
      <c r="B80" s="55" t="s">
        <v>15</v>
      </c>
      <c r="C80" s="30" t="s">
        <v>5</v>
      </c>
      <c r="D80" s="31">
        <f>ROUND(D81,1)+ROUND(D82,1)+ROUND(D90,1)+ROUND(D91,1)+ROUND(D92,1)+ROUND(D94,1)+ROUND(D93,1)</f>
        <v>0</v>
      </c>
      <c r="E80" s="31">
        <f aca="true" t="shared" si="10" ref="E80:K80">ROUND(E81,1)+ROUND(E82,1)+ROUND(E90,1)+ROUND(E91,1)+ROUND(E92,1)+ROUND(E94,1)+ROUND(E93,1)</f>
        <v>0</v>
      </c>
      <c r="F80" s="83">
        <f>ROUND(F81,1)+ROUND(F82,1)+ROUND(F90,1)+ROUND(F91,1)+ROUND(F92,1)+ROUND(F94,1)+ROUND(F93,1)</f>
        <v>678.3000000000001</v>
      </c>
      <c r="G80" s="83">
        <f t="shared" si="10"/>
        <v>678.3000000000001</v>
      </c>
      <c r="H80" s="83">
        <f t="shared" si="10"/>
        <v>708.4000000000001</v>
      </c>
      <c r="I80" s="83">
        <f t="shared" si="10"/>
        <v>1613.6</v>
      </c>
      <c r="J80" s="189" t="s">
        <v>236</v>
      </c>
      <c r="K80" s="31">
        <f t="shared" si="10"/>
        <v>1400.1</v>
      </c>
      <c r="L80" s="83">
        <f>ROUND(L81,1)+ROUND(L82,1)+ROUND(L90,1)+ROUND(L91,1)+ROUND(L92,1)+ROUND(L94,1)+ROUND(L93,1)</f>
        <v>1400.1</v>
      </c>
      <c r="M80" s="60" t="s">
        <v>104</v>
      </c>
      <c r="N80" s="29">
        <f>IF(AND(F80&gt;0,K80&gt;0),K80/F80,"-")</f>
        <v>2.064130915524104</v>
      </c>
      <c r="O80" s="29">
        <f>IF(AND(G80&gt;0,L80&gt;0),L80/G80,"-")</f>
        <v>2.064130915524104</v>
      </c>
    </row>
    <row r="81" spans="1:15" s="6" customFormat="1" ht="43.5" customHeight="1">
      <c r="A81" s="39" t="s">
        <v>95</v>
      </c>
      <c r="B81" s="41" t="s">
        <v>195</v>
      </c>
      <c r="C81" s="39" t="s">
        <v>5</v>
      </c>
      <c r="D81" s="42"/>
      <c r="E81" s="42"/>
      <c r="F81" s="42"/>
      <c r="G81" s="42"/>
      <c r="H81" s="42"/>
      <c r="I81" s="42"/>
      <c r="J81" s="32"/>
      <c r="K81" s="42"/>
      <c r="L81" s="42"/>
      <c r="M81" s="32"/>
      <c r="N81" s="29" t="str">
        <f>IF(AND(F81&gt;0,K81&gt;0),K81/F81,"-")</f>
        <v>-</v>
      </c>
      <c r="O81" s="29" t="str">
        <f>IF(AND(G81&gt;0,L81&gt;0),L81/G81,"-")</f>
        <v>-</v>
      </c>
    </row>
    <row r="82" spans="1:15" s="6" customFormat="1" ht="42" customHeight="1">
      <c r="A82" s="50" t="s">
        <v>96</v>
      </c>
      <c r="B82" s="55" t="s">
        <v>190</v>
      </c>
      <c r="C82" s="30" t="s">
        <v>5</v>
      </c>
      <c r="D82" s="31">
        <f aca="true" t="shared" si="11" ref="D82:I82">ROUND(D83,1)+ROUND(D84,1)+ROUND(D85,1)+ROUND(D86,1)+ROUND(D87,1)+ROUND(D88,1)+ROUND(D89,1)</f>
        <v>0</v>
      </c>
      <c r="E82" s="31">
        <f t="shared" si="11"/>
        <v>0</v>
      </c>
      <c r="F82" s="31">
        <f t="shared" si="11"/>
        <v>374.6</v>
      </c>
      <c r="G82" s="31">
        <f t="shared" si="11"/>
        <v>374.6</v>
      </c>
      <c r="H82" s="84">
        <f t="shared" si="11"/>
        <v>308</v>
      </c>
      <c r="I82" s="84">
        <f t="shared" si="11"/>
        <v>308</v>
      </c>
      <c r="J82" s="32" t="s">
        <v>236</v>
      </c>
      <c r="K82" s="31">
        <f>ROUND(K83,1)+ROUND(K84,1)+ROUND(K85,1)+ROUND(K86,1)+ROUND(K87,1)+ROUND(K88,1)+ROUND(K89,1)</f>
        <v>308</v>
      </c>
      <c r="L82" s="84">
        <f>ROUND(L83,1)+ROUND(L84,1)+ROUND(L85,1)+ROUND(L86,1)+ROUND(L87,1)+ROUND(L88,1)+ROUND(L89,1)</f>
        <v>308</v>
      </c>
      <c r="M82" s="32" t="s">
        <v>236</v>
      </c>
      <c r="N82" s="29">
        <f>IF(AND(F82&gt;0,K82&gt;0),K82/F82,"-")</f>
        <v>0.8222103577148958</v>
      </c>
      <c r="O82" s="29">
        <f>IF(AND(G82&gt;0,L82&gt;0),L82/G82,"-")</f>
        <v>0.8222103577148958</v>
      </c>
    </row>
    <row r="83" spans="1:15" s="6" customFormat="1" ht="22.5" customHeight="1">
      <c r="A83" s="39" t="s">
        <v>114</v>
      </c>
      <c r="B83" s="66" t="s">
        <v>14</v>
      </c>
      <c r="C83" s="39" t="s">
        <v>5</v>
      </c>
      <c r="D83" s="42"/>
      <c r="E83" s="42"/>
      <c r="F83" s="42"/>
      <c r="G83" s="42"/>
      <c r="H83" s="42"/>
      <c r="I83" s="42"/>
      <c r="J83" s="32"/>
      <c r="K83" s="42"/>
      <c r="L83" s="82"/>
      <c r="M83" s="32"/>
      <c r="N83" s="29" t="str">
        <f>IF(AND(F83&gt;0,K83&gt;0),K83/F83,"-")</f>
        <v>-</v>
      </c>
      <c r="O83" s="29" t="str">
        <f>IF(AND(G83&gt;0,L83&gt;0),L83/G83,"-")</f>
        <v>-</v>
      </c>
    </row>
    <row r="84" spans="1:15" s="6" customFormat="1" ht="20.25" customHeight="1">
      <c r="A84" s="39" t="s">
        <v>115</v>
      </c>
      <c r="B84" s="66" t="s">
        <v>13</v>
      </c>
      <c r="C84" s="39" t="s">
        <v>5</v>
      </c>
      <c r="D84" s="42"/>
      <c r="E84" s="42"/>
      <c r="F84" s="42"/>
      <c r="G84" s="42"/>
      <c r="H84" s="42"/>
      <c r="I84" s="42"/>
      <c r="J84" s="32"/>
      <c r="K84" s="42"/>
      <c r="L84" s="82"/>
      <c r="M84" s="32"/>
      <c r="N84" s="29" t="str">
        <f>IF(AND(F84&gt;0,K84&gt;0),K84/F84,"-")</f>
        <v>-</v>
      </c>
      <c r="O84" s="29" t="str">
        <f>IF(AND(G84&gt;0,L84&gt;0),L84/G84,"-")</f>
        <v>-</v>
      </c>
    </row>
    <row r="85" spans="1:15" s="6" customFormat="1" ht="47.25" customHeight="1">
      <c r="A85" s="39" t="s">
        <v>116</v>
      </c>
      <c r="B85" s="66" t="s">
        <v>12</v>
      </c>
      <c r="C85" s="39" t="s">
        <v>5</v>
      </c>
      <c r="D85" s="42"/>
      <c r="E85" s="42"/>
      <c r="F85" s="81">
        <v>125.87</v>
      </c>
      <c r="G85" s="81">
        <v>125.87</v>
      </c>
      <c r="H85" s="82">
        <v>125.87</v>
      </c>
      <c r="I85" s="82">
        <v>125.87</v>
      </c>
      <c r="J85" s="32" t="s">
        <v>242</v>
      </c>
      <c r="K85" s="82">
        <v>125.87</v>
      </c>
      <c r="L85" s="82">
        <v>125.87</v>
      </c>
      <c r="M85" s="32" t="s">
        <v>242</v>
      </c>
      <c r="N85" s="29">
        <f>IF(AND(F85&gt;0,K85&gt;0),K85/F85,"-")</f>
        <v>1</v>
      </c>
      <c r="O85" s="29">
        <f>IF(AND(G85&gt;0,L85&gt;0),L85/G85,"-")</f>
        <v>1</v>
      </c>
    </row>
    <row r="86" spans="1:15" s="6" customFormat="1" ht="82.5" customHeight="1">
      <c r="A86" s="39" t="s">
        <v>117</v>
      </c>
      <c r="B86" s="66" t="s">
        <v>11</v>
      </c>
      <c r="C86" s="39" t="s">
        <v>5</v>
      </c>
      <c r="D86" s="42"/>
      <c r="E86" s="42"/>
      <c r="F86" s="42">
        <v>5.65</v>
      </c>
      <c r="G86" s="42">
        <v>5.65</v>
      </c>
      <c r="H86" s="81">
        <v>5.65</v>
      </c>
      <c r="I86" s="81">
        <v>5.65</v>
      </c>
      <c r="J86" s="32" t="s">
        <v>242</v>
      </c>
      <c r="K86" s="82">
        <v>5.65</v>
      </c>
      <c r="L86" s="82">
        <v>5.65</v>
      </c>
      <c r="M86" s="32" t="s">
        <v>242</v>
      </c>
      <c r="N86" s="29">
        <f>IF(AND(F86&gt;0,K86&gt;0),K86/F86,"-")</f>
        <v>1</v>
      </c>
      <c r="O86" s="29">
        <f>IF(AND(G86&gt;0,L86&gt;0),L86/G86,"-")</f>
        <v>1</v>
      </c>
    </row>
    <row r="87" spans="1:15" s="6" customFormat="1" ht="60.75" customHeight="1">
      <c r="A87" s="39" t="s">
        <v>118</v>
      </c>
      <c r="B87" s="66" t="s">
        <v>60</v>
      </c>
      <c r="C87" s="39" t="s">
        <v>5</v>
      </c>
      <c r="D87" s="42"/>
      <c r="E87" s="42"/>
      <c r="F87" s="81">
        <v>83.04</v>
      </c>
      <c r="G87" s="81">
        <v>83.04</v>
      </c>
      <c r="H87" s="82">
        <v>85.746</v>
      </c>
      <c r="I87" s="82">
        <v>85.746</v>
      </c>
      <c r="J87" s="32" t="s">
        <v>242</v>
      </c>
      <c r="K87" s="82">
        <v>85.746</v>
      </c>
      <c r="L87" s="82">
        <v>85.746</v>
      </c>
      <c r="M87" s="32" t="s">
        <v>242</v>
      </c>
      <c r="N87" s="29">
        <f>IF(AND(F87&gt;0,K87&gt;0),K87/F87,"-")</f>
        <v>1.032586705202312</v>
      </c>
      <c r="O87" s="29">
        <f>IF(AND(G87&gt;0,L87&gt;0),L87/G87,"-")</f>
        <v>1.032586705202312</v>
      </c>
    </row>
    <row r="88" spans="1:15" s="6" customFormat="1" ht="23.25" customHeight="1">
      <c r="A88" s="39" t="s">
        <v>119</v>
      </c>
      <c r="B88" s="66" t="s">
        <v>120</v>
      </c>
      <c r="C88" s="39" t="s">
        <v>5</v>
      </c>
      <c r="D88" s="42"/>
      <c r="E88" s="42"/>
      <c r="F88" s="188">
        <v>160</v>
      </c>
      <c r="G88" s="188">
        <v>160</v>
      </c>
      <c r="H88" s="82">
        <v>90.666</v>
      </c>
      <c r="I88" s="82">
        <v>90.666</v>
      </c>
      <c r="J88" s="32" t="s">
        <v>242</v>
      </c>
      <c r="K88" s="82">
        <v>90.666</v>
      </c>
      <c r="L88" s="82">
        <v>90.666</v>
      </c>
      <c r="M88" s="32" t="s">
        <v>242</v>
      </c>
      <c r="N88" s="29">
        <f>IF(AND(F88&gt;0,K88&gt;0),K88/F88,"-")</f>
        <v>0.5666625</v>
      </c>
      <c r="O88" s="29">
        <f>IF(AND(G88&gt;0,L88&gt;0),L88/G88,"-")</f>
        <v>0.5666625</v>
      </c>
    </row>
    <row r="89" spans="1:15" s="6" customFormat="1" ht="56.25" customHeight="1">
      <c r="A89" s="39" t="s">
        <v>188</v>
      </c>
      <c r="B89" s="66" t="s">
        <v>189</v>
      </c>
      <c r="C89" s="39" t="s">
        <v>5</v>
      </c>
      <c r="D89" s="42"/>
      <c r="E89" s="42"/>
      <c r="F89" s="42"/>
      <c r="G89" s="42"/>
      <c r="H89" s="42"/>
      <c r="I89" s="42"/>
      <c r="J89" s="32"/>
      <c r="K89" s="42"/>
      <c r="L89" s="42"/>
      <c r="M89" s="32"/>
      <c r="N89" s="29" t="str">
        <f>IF(AND(F89&gt;0,K89&gt;0),K89/F89,"-")</f>
        <v>-</v>
      </c>
      <c r="O89" s="29" t="str">
        <f>IF(AND(G89&gt;0,L89&gt;0),L89/G89,"-")</f>
        <v>-</v>
      </c>
    </row>
    <row r="90" spans="1:15" s="6" customFormat="1" ht="110.25" customHeight="1">
      <c r="A90" s="39" t="s">
        <v>97</v>
      </c>
      <c r="B90" s="70" t="s">
        <v>192</v>
      </c>
      <c r="C90" s="39" t="s">
        <v>5</v>
      </c>
      <c r="D90" s="42"/>
      <c r="E90" s="42"/>
      <c r="F90" s="42"/>
      <c r="G90" s="42"/>
      <c r="H90" s="42"/>
      <c r="I90" s="42"/>
      <c r="J90" s="32"/>
      <c r="K90" s="42"/>
      <c r="L90" s="42"/>
      <c r="M90" s="32"/>
      <c r="N90" s="29" t="str">
        <f>IF(AND(F90&gt;0,K90&gt;0),K90/F90,"-")</f>
        <v>-</v>
      </c>
      <c r="O90" s="29" t="str">
        <f>IF(AND(G90&gt;0,L90&gt;0),L90/G90,"-")</f>
        <v>-</v>
      </c>
    </row>
    <row r="91" spans="1:15" s="6" customFormat="1" ht="30" customHeight="1">
      <c r="A91" s="39" t="s">
        <v>109</v>
      </c>
      <c r="B91" s="41" t="s">
        <v>110</v>
      </c>
      <c r="C91" s="39" t="s">
        <v>5</v>
      </c>
      <c r="D91" s="42"/>
      <c r="E91" s="42"/>
      <c r="F91" s="42"/>
      <c r="G91" s="42"/>
      <c r="H91" s="42"/>
      <c r="I91" s="42"/>
      <c r="J91" s="32"/>
      <c r="K91" s="42"/>
      <c r="L91" s="42"/>
      <c r="M91" s="32"/>
      <c r="N91" s="29" t="str">
        <f>IF(AND(F91&gt;0,K91&gt;0),K91/F91,"-")</f>
        <v>-</v>
      </c>
      <c r="O91" s="29" t="str">
        <f>IF(AND(G91&gt;0,L91&gt;0),L91/G91,"-")</f>
        <v>-</v>
      </c>
    </row>
    <row r="92" spans="1:15" s="6" customFormat="1" ht="99" customHeight="1">
      <c r="A92" s="238" t="s">
        <v>111</v>
      </c>
      <c r="B92" s="70" t="s">
        <v>17</v>
      </c>
      <c r="C92" s="238" t="s">
        <v>5</v>
      </c>
      <c r="D92" s="239"/>
      <c r="E92" s="239"/>
      <c r="F92" s="240">
        <v>225.069</v>
      </c>
      <c r="G92" s="240">
        <v>225.069</v>
      </c>
      <c r="H92" s="240">
        <v>225.069</v>
      </c>
      <c r="I92" s="240">
        <f>225.069+213.488</f>
        <v>438.557</v>
      </c>
      <c r="J92" s="241" t="s">
        <v>247</v>
      </c>
      <c r="K92" s="240">
        <f>H92</f>
        <v>225.069</v>
      </c>
      <c r="L92" s="240">
        <v>225.069</v>
      </c>
      <c r="M92" s="241" t="s">
        <v>246</v>
      </c>
      <c r="N92" s="29">
        <f>IF(AND(F92&gt;0,K92&gt;0),K92/F92,"-")</f>
        <v>1</v>
      </c>
      <c r="O92" s="29">
        <f>IF(AND(G92&gt;0,L92&gt;0),L92/G92,"-")</f>
        <v>1</v>
      </c>
    </row>
    <row r="93" spans="1:15" s="6" customFormat="1" ht="47.25" customHeight="1">
      <c r="A93" s="39" t="s">
        <v>112</v>
      </c>
      <c r="B93" s="41" t="s">
        <v>193</v>
      </c>
      <c r="C93" s="39" t="s">
        <v>5</v>
      </c>
      <c r="D93" s="42"/>
      <c r="E93" s="42"/>
      <c r="F93" s="42"/>
      <c r="G93" s="42"/>
      <c r="H93" s="42"/>
      <c r="I93" s="42"/>
      <c r="J93" s="32"/>
      <c r="K93" s="42"/>
      <c r="L93" s="42"/>
      <c r="M93" s="32"/>
      <c r="N93" s="29" t="str">
        <f>IF(AND(F93&gt;0,K93&gt;0),K93/F93,"-")</f>
        <v>-</v>
      </c>
      <c r="O93" s="29" t="str">
        <f>IF(AND(G93&gt;0,L93&gt;0),L93/G93,"-")</f>
        <v>-</v>
      </c>
    </row>
    <row r="94" spans="1:15" s="6" customFormat="1" ht="235.5" customHeight="1">
      <c r="A94" s="238" t="s">
        <v>113</v>
      </c>
      <c r="B94" s="70" t="s">
        <v>194</v>
      </c>
      <c r="C94" s="238" t="s">
        <v>5</v>
      </c>
      <c r="D94" s="239"/>
      <c r="E94" s="239"/>
      <c r="F94" s="242">
        <v>78.6</v>
      </c>
      <c r="G94" s="242">
        <v>78.6</v>
      </c>
      <c r="H94" s="240">
        <v>175.344</v>
      </c>
      <c r="I94" s="240">
        <v>866.964</v>
      </c>
      <c r="J94" s="241" t="s">
        <v>245</v>
      </c>
      <c r="K94" s="240">
        <v>866.964</v>
      </c>
      <c r="L94" s="240">
        <v>866.964</v>
      </c>
      <c r="M94" s="241" t="s">
        <v>245</v>
      </c>
      <c r="N94" s="29">
        <f>IF(AND(F94&gt;0,K94&gt;0),K94/F94,"-")</f>
        <v>11.030076335877864</v>
      </c>
      <c r="O94" s="29">
        <f>IF(AND(G94&gt;0,L94&gt;0),L94/G94,"-")</f>
        <v>11.030076335877864</v>
      </c>
    </row>
    <row r="95" spans="1:15" ht="45" customHeight="1">
      <c r="A95" s="54" t="s">
        <v>68</v>
      </c>
      <c r="B95" s="55" t="s">
        <v>168</v>
      </c>
      <c r="C95" s="30" t="s">
        <v>5</v>
      </c>
      <c r="D95" s="31">
        <f aca="true" t="shared" si="12" ref="D95:I95">ROUND(D96,1)+ROUND(D108,1)+ROUND(D121,1)+ROUND(D124,1)+ROUND(D127,1)+ROUND(D130,1)+ROUND(D133,1)+ROUND(D134,1)</f>
        <v>0</v>
      </c>
      <c r="E95" s="31">
        <f t="shared" si="12"/>
        <v>0</v>
      </c>
      <c r="F95" s="31">
        <f t="shared" si="12"/>
        <v>0</v>
      </c>
      <c r="G95" s="31">
        <f t="shared" si="12"/>
        <v>0</v>
      </c>
      <c r="H95" s="31">
        <f t="shared" si="12"/>
        <v>0</v>
      </c>
      <c r="I95" s="31">
        <f t="shared" si="12"/>
        <v>0</v>
      </c>
      <c r="J95" s="32"/>
      <c r="K95" s="31">
        <f>ROUND(K96,1)+ROUND(K108,1)+ROUND(K121,1)+ROUND(K124,1)+ROUND(K127,1)+ROUND(K130,1)+ROUND(K133,1)+ROUND(K134,1)</f>
        <v>0</v>
      </c>
      <c r="L95" s="31">
        <v>0</v>
      </c>
      <c r="M95" s="32"/>
      <c r="N95" s="29" t="str">
        <f>IF(AND(F95&gt;0,K95&gt;0),K95/F95,"-")</f>
        <v>-</v>
      </c>
      <c r="O95" s="29" t="str">
        <f>IF(AND(G95&gt;0,L95&gt;0),L95/G95,"-")</f>
        <v>-</v>
      </c>
    </row>
    <row r="96" spans="1:15" ht="15" customHeight="1">
      <c r="A96" s="39" t="s">
        <v>98</v>
      </c>
      <c r="B96" s="71" t="s">
        <v>142</v>
      </c>
      <c r="C96" s="39" t="s">
        <v>5</v>
      </c>
      <c r="D96" s="42"/>
      <c r="E96" s="42"/>
      <c r="F96" s="42"/>
      <c r="G96" s="42"/>
      <c r="H96" s="42"/>
      <c r="I96" s="42"/>
      <c r="J96" s="32"/>
      <c r="K96" s="42"/>
      <c r="L96" s="42"/>
      <c r="M96" s="32"/>
      <c r="N96" s="29" t="str">
        <f>IF(AND(F96&gt;0,K96&gt;0),K96/F96,"-")</f>
        <v>-</v>
      </c>
      <c r="O96" s="29" t="str">
        <f>IF(AND(G96&gt;0,L96&gt;0),L96/G96,"-")</f>
        <v>-</v>
      </c>
    </row>
    <row r="97" spans="1:15" ht="15" customHeight="1" hidden="1">
      <c r="A97" s="39"/>
      <c r="B97" s="65" t="s">
        <v>125</v>
      </c>
      <c r="C97" s="39" t="s">
        <v>138</v>
      </c>
      <c r="D97" s="42">
        <v>10</v>
      </c>
      <c r="E97" s="42">
        <v>10</v>
      </c>
      <c r="F97" s="42">
        <v>10</v>
      </c>
      <c r="G97" s="42">
        <v>10</v>
      </c>
      <c r="H97" s="42">
        <v>10</v>
      </c>
      <c r="I97" s="42"/>
      <c r="J97" s="32"/>
      <c r="K97" s="42">
        <v>10</v>
      </c>
      <c r="L97" s="42"/>
      <c r="M97" s="32"/>
      <c r="N97" s="29">
        <f>IF(AND(F97&gt;0,K97&gt;0),K97/F97,"-")</f>
        <v>1</v>
      </c>
      <c r="O97" s="29" t="str">
        <f>IF(AND(G97&gt;0,L97&gt;0),L97/G97,"-")</f>
        <v>-</v>
      </c>
    </row>
    <row r="98" spans="1:15" ht="15" customHeight="1" hidden="1">
      <c r="A98" s="39"/>
      <c r="B98" s="67" t="s">
        <v>121</v>
      </c>
      <c r="C98" s="39" t="s">
        <v>138</v>
      </c>
      <c r="D98" s="42">
        <v>10</v>
      </c>
      <c r="E98" s="42">
        <v>10</v>
      </c>
      <c r="F98" s="42">
        <v>10</v>
      </c>
      <c r="G98" s="42">
        <v>10</v>
      </c>
      <c r="H98" s="42">
        <v>10</v>
      </c>
      <c r="I98" s="42"/>
      <c r="J98" s="32"/>
      <c r="K98" s="42">
        <v>10</v>
      </c>
      <c r="L98" s="42"/>
      <c r="M98" s="32"/>
      <c r="N98" s="29">
        <f>IF(AND(F98&gt;0,K98&gt;0),K98/F98,"-")</f>
        <v>1</v>
      </c>
      <c r="O98" s="29" t="str">
        <f>IF(AND(G98&gt;0,L98&gt;0),L98/G98,"-")</f>
        <v>-</v>
      </c>
    </row>
    <row r="99" spans="1:15" ht="15" customHeight="1" hidden="1">
      <c r="A99" s="39"/>
      <c r="B99" s="67" t="s">
        <v>122</v>
      </c>
      <c r="C99" s="39" t="s">
        <v>138</v>
      </c>
      <c r="D99" s="42">
        <v>10</v>
      </c>
      <c r="E99" s="42">
        <v>10</v>
      </c>
      <c r="F99" s="42">
        <v>10</v>
      </c>
      <c r="G99" s="42">
        <v>10</v>
      </c>
      <c r="H99" s="42">
        <v>10</v>
      </c>
      <c r="I99" s="42"/>
      <c r="J99" s="32"/>
      <c r="K99" s="42">
        <v>10</v>
      </c>
      <c r="L99" s="42"/>
      <c r="M99" s="32"/>
      <c r="N99" s="29">
        <f>IF(AND(F99&gt;0,K99&gt;0),K99/F99,"-")</f>
        <v>1</v>
      </c>
      <c r="O99" s="29" t="str">
        <f>IF(AND(G99&gt;0,L99&gt;0),L99/G99,"-")</f>
        <v>-</v>
      </c>
    </row>
    <row r="100" spans="1:15" ht="15" customHeight="1" hidden="1">
      <c r="A100" s="39"/>
      <c r="B100" s="67" t="s">
        <v>123</v>
      </c>
      <c r="C100" s="39" t="s">
        <v>138</v>
      </c>
      <c r="D100" s="42">
        <v>10</v>
      </c>
      <c r="E100" s="42">
        <v>10</v>
      </c>
      <c r="F100" s="42">
        <v>10</v>
      </c>
      <c r="G100" s="42">
        <v>10</v>
      </c>
      <c r="H100" s="42">
        <v>10</v>
      </c>
      <c r="I100" s="42"/>
      <c r="J100" s="32"/>
      <c r="K100" s="42">
        <v>10</v>
      </c>
      <c r="L100" s="42"/>
      <c r="M100" s="32"/>
      <c r="N100" s="29">
        <f>IF(AND(F100&gt;0,K100&gt;0),K100/F100,"-")</f>
        <v>1</v>
      </c>
      <c r="O100" s="29" t="str">
        <f>IF(AND(G100&gt;0,L100&gt;0),L100/G100,"-")</f>
        <v>-</v>
      </c>
    </row>
    <row r="101" spans="1:15" ht="15" customHeight="1" hidden="1">
      <c r="A101" s="39"/>
      <c r="B101" s="67" t="s">
        <v>124</v>
      </c>
      <c r="C101" s="39" t="s">
        <v>138</v>
      </c>
      <c r="D101" s="42">
        <v>10</v>
      </c>
      <c r="E101" s="42">
        <v>10</v>
      </c>
      <c r="F101" s="42">
        <v>10</v>
      </c>
      <c r="G101" s="42">
        <v>10</v>
      </c>
      <c r="H101" s="42">
        <v>10</v>
      </c>
      <c r="I101" s="42"/>
      <c r="J101" s="32"/>
      <c r="K101" s="42">
        <v>10</v>
      </c>
      <c r="L101" s="42"/>
      <c r="M101" s="32"/>
      <c r="N101" s="29">
        <f>IF(AND(F101&gt;0,K101&gt;0),K101/F101,"-")</f>
        <v>1</v>
      </c>
      <c r="O101" s="29" t="str">
        <f>IF(AND(G101&gt;0,L101&gt;0),L101/G101,"-")</f>
        <v>-</v>
      </c>
    </row>
    <row r="102" spans="1:15" ht="15" customHeight="1" hidden="1">
      <c r="A102" s="39"/>
      <c r="B102" s="67" t="s">
        <v>128</v>
      </c>
      <c r="C102" s="39"/>
      <c r="D102" s="42">
        <v>10</v>
      </c>
      <c r="E102" s="42">
        <v>10</v>
      </c>
      <c r="F102" s="42">
        <v>10</v>
      </c>
      <c r="G102" s="42">
        <v>10</v>
      </c>
      <c r="H102" s="42">
        <v>10</v>
      </c>
      <c r="I102" s="42"/>
      <c r="J102" s="32"/>
      <c r="K102" s="42">
        <v>10</v>
      </c>
      <c r="L102" s="42"/>
      <c r="M102" s="32"/>
      <c r="N102" s="29">
        <f>IF(AND(F102&gt;0,K102&gt;0),K102/F102,"-")</f>
        <v>1</v>
      </c>
      <c r="O102" s="29" t="str">
        <f>IF(AND(G102&gt;0,L102&gt;0),L102/G102,"-")</f>
        <v>-</v>
      </c>
    </row>
    <row r="103" spans="1:15" ht="17.25" customHeight="1" hidden="1">
      <c r="A103" s="39"/>
      <c r="B103" s="65" t="s">
        <v>126</v>
      </c>
      <c r="C103" s="39"/>
      <c r="D103" s="42">
        <v>10</v>
      </c>
      <c r="E103" s="42">
        <v>10</v>
      </c>
      <c r="F103" s="42">
        <v>10</v>
      </c>
      <c r="G103" s="42">
        <v>10</v>
      </c>
      <c r="H103" s="42">
        <v>10</v>
      </c>
      <c r="I103" s="42"/>
      <c r="J103" s="32"/>
      <c r="K103" s="42">
        <v>10</v>
      </c>
      <c r="L103" s="42"/>
      <c r="M103" s="32"/>
      <c r="N103" s="29">
        <f>IF(AND(F103&gt;0,K103&gt;0),K103/F103,"-")</f>
        <v>1</v>
      </c>
      <c r="O103" s="29" t="str">
        <f>IF(AND(G103&gt;0,L103&gt;0),L103/G103,"-")</f>
        <v>-</v>
      </c>
    </row>
    <row r="104" spans="1:15" ht="15" customHeight="1" hidden="1">
      <c r="A104" s="39"/>
      <c r="B104" s="67" t="s">
        <v>121</v>
      </c>
      <c r="C104" s="39" t="s">
        <v>28</v>
      </c>
      <c r="D104" s="42">
        <v>10</v>
      </c>
      <c r="E104" s="42">
        <v>10</v>
      </c>
      <c r="F104" s="42">
        <v>10</v>
      </c>
      <c r="G104" s="42">
        <v>10</v>
      </c>
      <c r="H104" s="42">
        <v>10</v>
      </c>
      <c r="I104" s="42"/>
      <c r="J104" s="32"/>
      <c r="K104" s="42">
        <v>10</v>
      </c>
      <c r="L104" s="42"/>
      <c r="M104" s="32"/>
      <c r="N104" s="29">
        <f>IF(AND(F104&gt;0,K104&gt;0),K104/F104,"-")</f>
        <v>1</v>
      </c>
      <c r="O104" s="29" t="str">
        <f>IF(AND(G104&gt;0,L104&gt;0),L104/G104,"-")</f>
        <v>-</v>
      </c>
    </row>
    <row r="105" spans="1:15" ht="15" customHeight="1" hidden="1">
      <c r="A105" s="39"/>
      <c r="B105" s="67" t="s">
        <v>122</v>
      </c>
      <c r="C105" s="39" t="s">
        <v>28</v>
      </c>
      <c r="D105" s="42">
        <v>10</v>
      </c>
      <c r="E105" s="42">
        <v>10</v>
      </c>
      <c r="F105" s="42">
        <v>10</v>
      </c>
      <c r="G105" s="42">
        <v>10</v>
      </c>
      <c r="H105" s="42">
        <v>10</v>
      </c>
      <c r="I105" s="42"/>
      <c r="J105" s="32"/>
      <c r="K105" s="42">
        <v>10</v>
      </c>
      <c r="L105" s="42"/>
      <c r="M105" s="32"/>
      <c r="N105" s="29">
        <f>IF(AND(F105&gt;0,K105&gt;0),K105/F105,"-")</f>
        <v>1</v>
      </c>
      <c r="O105" s="29" t="str">
        <f>IF(AND(G105&gt;0,L105&gt;0),L105/G105,"-")</f>
        <v>-</v>
      </c>
    </row>
    <row r="106" spans="1:15" ht="15" customHeight="1" hidden="1">
      <c r="A106" s="39"/>
      <c r="B106" s="67" t="s">
        <v>123</v>
      </c>
      <c r="C106" s="39" t="s">
        <v>28</v>
      </c>
      <c r="D106" s="42">
        <v>10</v>
      </c>
      <c r="E106" s="42">
        <v>10</v>
      </c>
      <c r="F106" s="42">
        <v>10</v>
      </c>
      <c r="G106" s="42">
        <v>10</v>
      </c>
      <c r="H106" s="42">
        <v>10</v>
      </c>
      <c r="I106" s="42"/>
      <c r="J106" s="32"/>
      <c r="K106" s="42">
        <v>10</v>
      </c>
      <c r="L106" s="42"/>
      <c r="M106" s="32"/>
      <c r="N106" s="29">
        <f>IF(AND(F106&gt;0,K106&gt;0),K106/F106,"-")</f>
        <v>1</v>
      </c>
      <c r="O106" s="29" t="str">
        <f>IF(AND(G106&gt;0,L106&gt;0),L106/G106,"-")</f>
        <v>-</v>
      </c>
    </row>
    <row r="107" spans="1:15" ht="15" customHeight="1" hidden="1">
      <c r="A107" s="39"/>
      <c r="B107" s="67" t="s">
        <v>124</v>
      </c>
      <c r="C107" s="39" t="s">
        <v>28</v>
      </c>
      <c r="D107" s="42">
        <v>10</v>
      </c>
      <c r="E107" s="42">
        <v>10</v>
      </c>
      <c r="F107" s="42">
        <v>10</v>
      </c>
      <c r="G107" s="42">
        <v>10</v>
      </c>
      <c r="H107" s="42">
        <v>10</v>
      </c>
      <c r="I107" s="42"/>
      <c r="J107" s="32"/>
      <c r="K107" s="42">
        <v>10</v>
      </c>
      <c r="L107" s="42"/>
      <c r="M107" s="32"/>
      <c r="N107" s="29">
        <f>IF(AND(F107&gt;0,K107&gt;0),K107/F107,"-")</f>
        <v>1</v>
      </c>
      <c r="O107" s="29" t="str">
        <f>IF(AND(G107&gt;0,L107&gt;0),L107/G107,"-")</f>
        <v>-</v>
      </c>
    </row>
    <row r="108" spans="1:15" ht="15" customHeight="1">
      <c r="A108" s="39" t="s">
        <v>99</v>
      </c>
      <c r="B108" s="71" t="s">
        <v>141</v>
      </c>
      <c r="C108" s="39" t="s">
        <v>5</v>
      </c>
      <c r="D108" s="42"/>
      <c r="E108" s="42"/>
      <c r="F108" s="42"/>
      <c r="G108" s="42"/>
      <c r="H108" s="42"/>
      <c r="I108" s="42"/>
      <c r="J108" s="32"/>
      <c r="K108" s="42"/>
      <c r="L108" s="42"/>
      <c r="M108" s="32"/>
      <c r="N108" s="29" t="str">
        <f>IF(AND(F108&gt;0,K108&gt;0),K108/F108,"-")</f>
        <v>-</v>
      </c>
      <c r="O108" s="29" t="str">
        <f>IF(AND(G108&gt;0,L108&gt;0),L108/G108,"-")</f>
        <v>-</v>
      </c>
    </row>
    <row r="109" spans="1:15" ht="15" customHeight="1" hidden="1">
      <c r="A109" s="39"/>
      <c r="B109" s="57" t="s">
        <v>127</v>
      </c>
      <c r="C109" s="39"/>
      <c r="D109" s="42"/>
      <c r="E109" s="42"/>
      <c r="F109" s="42"/>
      <c r="G109" s="42"/>
      <c r="H109" s="42"/>
      <c r="I109" s="42"/>
      <c r="J109" s="32"/>
      <c r="K109" s="42"/>
      <c r="L109" s="42"/>
      <c r="M109" s="32"/>
      <c r="N109" s="29" t="str">
        <f>IF(AND(F109&gt;0,K109&gt;0),K109/F109,"-")</f>
        <v>-</v>
      </c>
      <c r="O109" s="29" t="str">
        <f>IF(AND(G109&gt;0,L109&gt;0),L109/G109,"-")</f>
        <v>-</v>
      </c>
    </row>
    <row r="110" spans="1:15" ht="15" customHeight="1" hidden="1">
      <c r="A110" s="39"/>
      <c r="B110" s="67" t="s">
        <v>121</v>
      </c>
      <c r="C110" s="39" t="s">
        <v>139</v>
      </c>
      <c r="D110" s="42"/>
      <c r="E110" s="42"/>
      <c r="F110" s="42"/>
      <c r="G110" s="42"/>
      <c r="H110" s="42"/>
      <c r="I110" s="42"/>
      <c r="J110" s="32"/>
      <c r="K110" s="42"/>
      <c r="L110" s="42"/>
      <c r="M110" s="32"/>
      <c r="N110" s="29" t="str">
        <f>IF(AND(F110&gt;0,K110&gt;0),K110/F110,"-")</f>
        <v>-</v>
      </c>
      <c r="O110" s="29" t="str">
        <f>IF(AND(G110&gt;0,L110&gt;0),L110/G110,"-")</f>
        <v>-</v>
      </c>
    </row>
    <row r="111" spans="1:15" ht="15" customHeight="1" hidden="1">
      <c r="A111" s="39"/>
      <c r="B111" s="67" t="s">
        <v>122</v>
      </c>
      <c r="C111" s="39" t="s">
        <v>139</v>
      </c>
      <c r="D111" s="42"/>
      <c r="E111" s="42"/>
      <c r="F111" s="42"/>
      <c r="G111" s="42"/>
      <c r="H111" s="42"/>
      <c r="I111" s="42"/>
      <c r="J111" s="32"/>
      <c r="K111" s="42"/>
      <c r="L111" s="42"/>
      <c r="M111" s="32"/>
      <c r="N111" s="29" t="str">
        <f>IF(AND(F111&gt;0,K111&gt;0),K111/F111,"-")</f>
        <v>-</v>
      </c>
      <c r="O111" s="29" t="str">
        <f>IF(AND(G111&gt;0,L111&gt;0),L111/G111,"-")</f>
        <v>-</v>
      </c>
    </row>
    <row r="112" spans="1:15" ht="15" customHeight="1" hidden="1">
      <c r="A112" s="39"/>
      <c r="B112" s="67" t="s">
        <v>123</v>
      </c>
      <c r="C112" s="39" t="s">
        <v>139</v>
      </c>
      <c r="D112" s="42"/>
      <c r="E112" s="42"/>
      <c r="F112" s="42"/>
      <c r="G112" s="42"/>
      <c r="H112" s="42"/>
      <c r="I112" s="42"/>
      <c r="J112" s="32"/>
      <c r="K112" s="42"/>
      <c r="L112" s="42"/>
      <c r="M112" s="32"/>
      <c r="N112" s="29" t="str">
        <f>IF(AND(F112&gt;0,K112&gt;0),K112/F112,"-")</f>
        <v>-</v>
      </c>
      <c r="O112" s="29" t="str">
        <f>IF(AND(G112&gt;0,L112&gt;0),L112/G112,"-")</f>
        <v>-</v>
      </c>
    </row>
    <row r="113" spans="1:15" ht="15" customHeight="1" hidden="1">
      <c r="A113" s="39"/>
      <c r="B113" s="67" t="s">
        <v>124</v>
      </c>
      <c r="C113" s="39" t="s">
        <v>139</v>
      </c>
      <c r="D113" s="42"/>
      <c r="E113" s="42"/>
      <c r="F113" s="42"/>
      <c r="G113" s="42"/>
      <c r="H113" s="42"/>
      <c r="I113" s="42"/>
      <c r="J113" s="32"/>
      <c r="K113" s="42"/>
      <c r="L113" s="42"/>
      <c r="M113" s="32"/>
      <c r="N113" s="29" t="str">
        <f>IF(AND(F113&gt;0,K113&gt;0),K113/F113,"-")</f>
        <v>-</v>
      </c>
      <c r="O113" s="29" t="str">
        <f>IF(AND(G113&gt;0,L113&gt;0),L113/G113,"-")</f>
        <v>-</v>
      </c>
    </row>
    <row r="114" spans="1:15" ht="15" customHeight="1" hidden="1">
      <c r="A114" s="39"/>
      <c r="B114" s="67" t="s">
        <v>128</v>
      </c>
      <c r="C114" s="39" t="s">
        <v>139</v>
      </c>
      <c r="D114" s="42"/>
      <c r="E114" s="42"/>
      <c r="F114" s="42"/>
      <c r="G114" s="42"/>
      <c r="H114" s="42"/>
      <c r="I114" s="42"/>
      <c r="J114" s="32"/>
      <c r="K114" s="42"/>
      <c r="L114" s="42"/>
      <c r="M114" s="32"/>
      <c r="N114" s="29" t="str">
        <f>IF(AND(F114&gt;0,K114&gt;0),K114/F114,"-")</f>
        <v>-</v>
      </c>
      <c r="O114" s="29" t="str">
        <f>IF(AND(G114&gt;0,L114&gt;0),L114/G114,"-")</f>
        <v>-</v>
      </c>
    </row>
    <row r="115" spans="1:15" ht="15" customHeight="1" hidden="1">
      <c r="A115" s="39"/>
      <c r="B115" s="57" t="s">
        <v>129</v>
      </c>
      <c r="C115" s="19"/>
      <c r="D115" s="42"/>
      <c r="E115" s="42"/>
      <c r="F115" s="42"/>
      <c r="G115" s="42"/>
      <c r="H115" s="42"/>
      <c r="I115" s="42"/>
      <c r="J115" s="32"/>
      <c r="K115" s="42"/>
      <c r="L115" s="42"/>
      <c r="M115" s="32"/>
      <c r="N115" s="29" t="str">
        <f>IF(AND(F115&gt;0,K115&gt;0),K115/F115,"-")</f>
        <v>-</v>
      </c>
      <c r="O115" s="29" t="str">
        <f>IF(AND(G115&gt;0,L115&gt;0),L115/G115,"-")</f>
        <v>-</v>
      </c>
    </row>
    <row r="116" spans="1:15" ht="15" customHeight="1" hidden="1">
      <c r="A116" s="39"/>
      <c r="B116" s="67" t="s">
        <v>121</v>
      </c>
      <c r="C116" s="19" t="s">
        <v>140</v>
      </c>
      <c r="D116" s="42"/>
      <c r="E116" s="42"/>
      <c r="F116" s="42"/>
      <c r="G116" s="42"/>
      <c r="H116" s="42"/>
      <c r="I116" s="42"/>
      <c r="J116" s="32"/>
      <c r="K116" s="42"/>
      <c r="L116" s="42"/>
      <c r="M116" s="32"/>
      <c r="N116" s="29" t="str">
        <f>IF(AND(F116&gt;0,K116&gt;0),K116/F116,"-")</f>
        <v>-</v>
      </c>
      <c r="O116" s="29" t="str">
        <f>IF(AND(G116&gt;0,L116&gt;0),L116/G116,"-")</f>
        <v>-</v>
      </c>
    </row>
    <row r="117" spans="1:15" ht="15" customHeight="1" hidden="1">
      <c r="A117" s="39"/>
      <c r="B117" s="67" t="s">
        <v>122</v>
      </c>
      <c r="C117" s="19" t="s">
        <v>140</v>
      </c>
      <c r="D117" s="42"/>
      <c r="E117" s="42"/>
      <c r="F117" s="42"/>
      <c r="G117" s="42"/>
      <c r="H117" s="42"/>
      <c r="I117" s="42"/>
      <c r="J117" s="32"/>
      <c r="K117" s="42"/>
      <c r="L117" s="42"/>
      <c r="M117" s="32"/>
      <c r="N117" s="29" t="str">
        <f>IF(AND(F117&gt;0,K117&gt;0),K117/F117,"-")</f>
        <v>-</v>
      </c>
      <c r="O117" s="29" t="str">
        <f>IF(AND(G117&gt;0,L117&gt;0),L117/G117,"-")</f>
        <v>-</v>
      </c>
    </row>
    <row r="118" spans="1:15" ht="15" customHeight="1" hidden="1">
      <c r="A118" s="39"/>
      <c r="B118" s="67" t="s">
        <v>123</v>
      </c>
      <c r="C118" s="19" t="s">
        <v>140</v>
      </c>
      <c r="D118" s="42"/>
      <c r="E118" s="42"/>
      <c r="F118" s="42"/>
      <c r="G118" s="42"/>
      <c r="H118" s="42"/>
      <c r="I118" s="42"/>
      <c r="J118" s="32"/>
      <c r="K118" s="42"/>
      <c r="L118" s="42"/>
      <c r="M118" s="32"/>
      <c r="N118" s="29" t="str">
        <f>IF(AND(F118&gt;0,K118&gt;0),K118/F118,"-")</f>
        <v>-</v>
      </c>
      <c r="O118" s="29" t="str">
        <f>IF(AND(G118&gt;0,L118&gt;0),L118/G118,"-")</f>
        <v>-</v>
      </c>
    </row>
    <row r="119" spans="1:15" ht="15" customHeight="1" hidden="1">
      <c r="A119" s="39"/>
      <c r="B119" s="67" t="s">
        <v>124</v>
      </c>
      <c r="C119" s="19" t="s">
        <v>140</v>
      </c>
      <c r="D119" s="42"/>
      <c r="E119" s="42"/>
      <c r="F119" s="42"/>
      <c r="G119" s="42"/>
      <c r="H119" s="42"/>
      <c r="I119" s="42"/>
      <c r="J119" s="32"/>
      <c r="K119" s="42"/>
      <c r="L119" s="42"/>
      <c r="M119" s="32"/>
      <c r="N119" s="29" t="str">
        <f>IF(AND(F119&gt;0,K119&gt;0),K119/F119,"-")</f>
        <v>-</v>
      </c>
      <c r="O119" s="29" t="str">
        <f>IF(AND(G119&gt;0,L119&gt;0),L119/G119,"-")</f>
        <v>-</v>
      </c>
    </row>
    <row r="120" spans="1:15" ht="15" customHeight="1" hidden="1">
      <c r="A120" s="39"/>
      <c r="B120" s="67" t="s">
        <v>128</v>
      </c>
      <c r="C120" s="19" t="s">
        <v>140</v>
      </c>
      <c r="D120" s="42"/>
      <c r="E120" s="42"/>
      <c r="F120" s="42"/>
      <c r="G120" s="42"/>
      <c r="H120" s="42"/>
      <c r="I120" s="42"/>
      <c r="J120" s="32"/>
      <c r="K120" s="42"/>
      <c r="L120" s="42"/>
      <c r="M120" s="32"/>
      <c r="N120" s="29" t="str">
        <f>IF(AND(F120&gt;0,K120&gt;0),K120/F120,"-")</f>
        <v>-</v>
      </c>
      <c r="O120" s="29" t="str">
        <f>IF(AND(G120&gt;0,L120&gt;0),L120/G120,"-")</f>
        <v>-</v>
      </c>
    </row>
    <row r="121" spans="1:15" s="6" customFormat="1" ht="18.75">
      <c r="A121" s="39" t="s">
        <v>100</v>
      </c>
      <c r="B121" s="66" t="s">
        <v>143</v>
      </c>
      <c r="C121" s="39" t="s">
        <v>5</v>
      </c>
      <c r="D121" s="42"/>
      <c r="E121" s="42"/>
      <c r="F121" s="42"/>
      <c r="G121" s="42"/>
      <c r="H121" s="42"/>
      <c r="I121" s="42"/>
      <c r="J121" s="72"/>
      <c r="K121" s="42"/>
      <c r="L121" s="42"/>
      <c r="M121" s="32"/>
      <c r="N121" s="29" t="str">
        <f>IF(AND(F121&gt;0,K121&gt;0),K121/F121,"-")</f>
        <v>-</v>
      </c>
      <c r="O121" s="29" t="str">
        <f>IF(AND(G121&gt;0,L121&gt;0),L121/G121,"-")</f>
        <v>-</v>
      </c>
    </row>
    <row r="122" spans="1:15" s="6" customFormat="1" ht="15" customHeight="1" hidden="1">
      <c r="A122" s="39"/>
      <c r="B122" s="65" t="s">
        <v>53</v>
      </c>
      <c r="C122" s="39" t="s">
        <v>136</v>
      </c>
      <c r="D122" s="42"/>
      <c r="E122" s="42"/>
      <c r="F122" s="42"/>
      <c r="G122" s="42"/>
      <c r="H122" s="42"/>
      <c r="I122" s="42"/>
      <c r="J122" s="72"/>
      <c r="K122" s="42"/>
      <c r="L122" s="42"/>
      <c r="M122" s="32"/>
      <c r="N122" s="29" t="str">
        <f>IF(AND(F122&gt;0,K122&gt;0),K122/F122,"-")</f>
        <v>-</v>
      </c>
      <c r="O122" s="29" t="str">
        <f>IF(AND(G122&gt;0,L122&gt;0),L122/G122,"-")</f>
        <v>-</v>
      </c>
    </row>
    <row r="123" spans="1:15" s="6" customFormat="1" ht="15" customHeight="1" hidden="1">
      <c r="A123" s="39"/>
      <c r="B123" s="65" t="s">
        <v>54</v>
      </c>
      <c r="C123" s="39" t="s">
        <v>55</v>
      </c>
      <c r="D123" s="42"/>
      <c r="E123" s="42"/>
      <c r="F123" s="42"/>
      <c r="G123" s="42"/>
      <c r="H123" s="42"/>
      <c r="I123" s="42"/>
      <c r="J123" s="72"/>
      <c r="K123" s="42"/>
      <c r="L123" s="42"/>
      <c r="M123" s="32"/>
      <c r="N123" s="29" t="str">
        <f>IF(AND(F123&gt;0,K123&gt;0),K123/F123,"-")</f>
        <v>-</v>
      </c>
      <c r="O123" s="29" t="str">
        <f>IF(AND(G123&gt;0,L123&gt;0),L123/G123,"-")</f>
        <v>-</v>
      </c>
    </row>
    <row r="124" spans="1:15" s="6" customFormat="1" ht="18.75">
      <c r="A124" s="39" t="s">
        <v>131</v>
      </c>
      <c r="B124" s="66" t="s">
        <v>144</v>
      </c>
      <c r="C124" s="39" t="s">
        <v>5</v>
      </c>
      <c r="D124" s="42"/>
      <c r="E124" s="42"/>
      <c r="F124" s="42"/>
      <c r="G124" s="42"/>
      <c r="H124" s="42"/>
      <c r="I124" s="42"/>
      <c r="J124" s="72"/>
      <c r="K124" s="42"/>
      <c r="L124" s="42"/>
      <c r="M124" s="32"/>
      <c r="N124" s="29" t="str">
        <f>IF(AND(F124&gt;0,K124&gt;0),K124/F124,"-")</f>
        <v>-</v>
      </c>
      <c r="O124" s="29" t="str">
        <f>IF(AND(G124&gt;0,L124&gt;0),L124/G124,"-")</f>
        <v>-</v>
      </c>
    </row>
    <row r="125" spans="1:15" s="6" customFormat="1" ht="15" customHeight="1" hidden="1">
      <c r="A125" s="39"/>
      <c r="B125" s="65" t="s">
        <v>56</v>
      </c>
      <c r="C125" s="36" t="s">
        <v>137</v>
      </c>
      <c r="D125" s="42"/>
      <c r="E125" s="42"/>
      <c r="F125" s="42"/>
      <c r="G125" s="42"/>
      <c r="H125" s="42"/>
      <c r="I125" s="42"/>
      <c r="J125" s="72"/>
      <c r="K125" s="42"/>
      <c r="L125" s="42"/>
      <c r="M125" s="32"/>
      <c r="N125" s="29" t="str">
        <f>IF(AND(F125&gt;0,K125&gt;0),K125/F125,"-")</f>
        <v>-</v>
      </c>
      <c r="O125" s="29" t="str">
        <f>IF(AND(G125&gt;0,L125&gt;0),L125/G125,"-")</f>
        <v>-</v>
      </c>
    </row>
    <row r="126" spans="1:15" s="6" customFormat="1" ht="15" customHeight="1" hidden="1">
      <c r="A126" s="39"/>
      <c r="B126" s="65" t="s">
        <v>57</v>
      </c>
      <c r="C126" s="39" t="s">
        <v>10</v>
      </c>
      <c r="D126" s="42"/>
      <c r="E126" s="42"/>
      <c r="F126" s="42"/>
      <c r="G126" s="42"/>
      <c r="H126" s="42"/>
      <c r="I126" s="42"/>
      <c r="J126" s="72"/>
      <c r="K126" s="42"/>
      <c r="L126" s="42"/>
      <c r="M126" s="32"/>
      <c r="N126" s="29" t="str">
        <f>IF(AND(F126&gt;0,K126&gt;0),K126/F126,"-")</f>
        <v>-</v>
      </c>
      <c r="O126" s="29" t="str">
        <f>IF(AND(G126&gt;0,L126&gt;0),L126/G126,"-")</f>
        <v>-</v>
      </c>
    </row>
    <row r="127" spans="1:15" s="6" customFormat="1" ht="18.75">
      <c r="A127" s="39" t="s">
        <v>132</v>
      </c>
      <c r="B127" s="66" t="s">
        <v>146</v>
      </c>
      <c r="C127" s="39" t="s">
        <v>5</v>
      </c>
      <c r="D127" s="42"/>
      <c r="E127" s="42"/>
      <c r="F127" s="42"/>
      <c r="G127" s="42"/>
      <c r="H127" s="42"/>
      <c r="I127" s="42"/>
      <c r="J127" s="72"/>
      <c r="K127" s="42"/>
      <c r="L127" s="42"/>
      <c r="M127" s="32"/>
      <c r="N127" s="29" t="str">
        <f>IF(AND(F127&gt;0,K127&gt;0),K127/F127,"-")</f>
        <v>-</v>
      </c>
      <c r="O127" s="29" t="str">
        <f>IF(AND(G127&gt;0,L127&gt;0),L127/G127,"-")</f>
        <v>-</v>
      </c>
    </row>
    <row r="128" spans="1:15" s="6" customFormat="1" ht="15" customHeight="1" hidden="1">
      <c r="A128" s="39"/>
      <c r="B128" s="65" t="s">
        <v>29</v>
      </c>
      <c r="C128" s="36" t="s">
        <v>137</v>
      </c>
      <c r="D128" s="42"/>
      <c r="E128" s="42"/>
      <c r="F128" s="42"/>
      <c r="G128" s="42"/>
      <c r="H128" s="42"/>
      <c r="I128" s="42"/>
      <c r="J128" s="72"/>
      <c r="K128" s="42"/>
      <c r="L128" s="42"/>
      <c r="M128" s="32"/>
      <c r="N128" s="29" t="str">
        <f>IF(AND(F128&gt;0,K128&gt;0),K128/F128,"-")</f>
        <v>-</v>
      </c>
      <c r="O128" s="29" t="str">
        <f>IF(AND(G128&gt;0,L128&gt;0),L128/G128,"-")</f>
        <v>-</v>
      </c>
    </row>
    <row r="129" spans="1:15" s="6" customFormat="1" ht="15" customHeight="1" hidden="1">
      <c r="A129" s="39"/>
      <c r="B129" s="65" t="s">
        <v>30</v>
      </c>
      <c r="C129" s="39" t="s">
        <v>10</v>
      </c>
      <c r="D129" s="42"/>
      <c r="E129" s="42"/>
      <c r="F129" s="42"/>
      <c r="G129" s="42"/>
      <c r="H129" s="42"/>
      <c r="I129" s="42"/>
      <c r="J129" s="72"/>
      <c r="K129" s="42"/>
      <c r="L129" s="42"/>
      <c r="M129" s="32"/>
      <c r="N129" s="29" t="str">
        <f>IF(AND(F129&gt;0,K129&gt;0),K129/F129,"-")</f>
        <v>-</v>
      </c>
      <c r="O129" s="29" t="str">
        <f>IF(AND(G129&gt;0,L129&gt;0),L129/G129,"-")</f>
        <v>-</v>
      </c>
    </row>
    <row r="130" spans="1:15" s="6" customFormat="1" ht="18.75">
      <c r="A130" s="39" t="s">
        <v>133</v>
      </c>
      <c r="B130" s="66" t="s">
        <v>145</v>
      </c>
      <c r="C130" s="39" t="s">
        <v>5</v>
      </c>
      <c r="D130" s="42"/>
      <c r="E130" s="42"/>
      <c r="F130" s="42"/>
      <c r="G130" s="42"/>
      <c r="H130" s="42"/>
      <c r="I130" s="42"/>
      <c r="J130" s="72"/>
      <c r="K130" s="42"/>
      <c r="L130" s="42"/>
      <c r="M130" s="32"/>
      <c r="N130" s="29" t="str">
        <f>IF(AND(F130&gt;0,K130&gt;0),K130/F130,"-")</f>
        <v>-</v>
      </c>
      <c r="O130" s="29" t="str">
        <f>IF(AND(G130&gt;0,L130&gt;0),L130/G130,"-")</f>
        <v>-</v>
      </c>
    </row>
    <row r="131" spans="1:15" s="6" customFormat="1" ht="15" customHeight="1" hidden="1">
      <c r="A131" s="39"/>
      <c r="B131" s="65" t="s">
        <v>58</v>
      </c>
      <c r="C131" s="36" t="s">
        <v>137</v>
      </c>
      <c r="D131" s="42"/>
      <c r="E131" s="42"/>
      <c r="F131" s="42"/>
      <c r="G131" s="42"/>
      <c r="H131" s="42"/>
      <c r="I131" s="42"/>
      <c r="J131" s="72"/>
      <c r="K131" s="42"/>
      <c r="L131" s="42"/>
      <c r="M131" s="32"/>
      <c r="N131" s="29" t="str">
        <f>IF(AND(F131&gt;0,K131&gt;0),K131/F131,"-")</f>
        <v>-</v>
      </c>
      <c r="O131" s="29" t="str">
        <f>IF(AND(G131&gt;0,L131&gt;0),L131/G131,"-")</f>
        <v>-</v>
      </c>
    </row>
    <row r="132" spans="1:15" s="6" customFormat="1" ht="15" customHeight="1" hidden="1">
      <c r="A132" s="39"/>
      <c r="B132" s="65" t="s">
        <v>59</v>
      </c>
      <c r="C132" s="39" t="s">
        <v>10</v>
      </c>
      <c r="D132" s="42"/>
      <c r="E132" s="42"/>
      <c r="F132" s="42"/>
      <c r="G132" s="42"/>
      <c r="H132" s="42"/>
      <c r="I132" s="42"/>
      <c r="J132" s="72"/>
      <c r="K132" s="42"/>
      <c r="L132" s="42"/>
      <c r="M132" s="32"/>
      <c r="N132" s="29" t="str">
        <f>IF(AND(F132&gt;0,K132&gt;0),K132/F132,"-")</f>
        <v>-</v>
      </c>
      <c r="O132" s="29" t="str">
        <f>IF(AND(G132&gt;0,L132&gt;0),L132/G132,"-")</f>
        <v>-</v>
      </c>
    </row>
    <row r="133" spans="1:15" s="6" customFormat="1" ht="18.75">
      <c r="A133" s="39" t="s">
        <v>134</v>
      </c>
      <c r="B133" s="66" t="s">
        <v>130</v>
      </c>
      <c r="C133" s="39" t="s">
        <v>5</v>
      </c>
      <c r="D133" s="42"/>
      <c r="E133" s="42"/>
      <c r="F133" s="42"/>
      <c r="G133" s="42"/>
      <c r="H133" s="42"/>
      <c r="I133" s="42"/>
      <c r="J133" s="72"/>
      <c r="K133" s="42"/>
      <c r="L133" s="42"/>
      <c r="M133" s="32"/>
      <c r="N133" s="29" t="str">
        <f>IF(AND(F133&gt;0,K133&gt;0),K133/F133,"-")</f>
        <v>-</v>
      </c>
      <c r="O133" s="29" t="str">
        <f>IF(AND(G133&gt;0,L133&gt;0),L133/G133,"-")</f>
        <v>-</v>
      </c>
    </row>
    <row r="134" spans="1:15" s="6" customFormat="1" ht="15" customHeight="1">
      <c r="A134" s="39" t="s">
        <v>135</v>
      </c>
      <c r="B134" s="66" t="s">
        <v>196</v>
      </c>
      <c r="C134" s="39" t="s">
        <v>5</v>
      </c>
      <c r="D134" s="42"/>
      <c r="E134" s="42"/>
      <c r="F134" s="42"/>
      <c r="G134" s="42"/>
      <c r="H134" s="42"/>
      <c r="I134" s="42"/>
      <c r="J134" s="72"/>
      <c r="K134" s="42"/>
      <c r="L134" s="42"/>
      <c r="M134" s="32"/>
      <c r="N134" s="29" t="str">
        <f>IF(AND(F134&gt;0,K134&gt;0),K134/F134,"-")</f>
        <v>-</v>
      </c>
      <c r="O134" s="29" t="str">
        <f>IF(AND(G134&gt;0,L134&gt;0),L134/G134,"-")</f>
        <v>-</v>
      </c>
    </row>
    <row r="135" spans="1:15" s="6" customFormat="1" ht="73.5" customHeight="1">
      <c r="A135" s="39" t="s">
        <v>42</v>
      </c>
      <c r="B135" s="41" t="s">
        <v>164</v>
      </c>
      <c r="C135" s="36" t="s">
        <v>5</v>
      </c>
      <c r="D135" s="37"/>
      <c r="E135" s="37"/>
      <c r="F135" s="87">
        <v>49.412</v>
      </c>
      <c r="G135" s="87">
        <v>49.412</v>
      </c>
      <c r="H135" s="87">
        <v>49.412</v>
      </c>
      <c r="I135" s="87">
        <v>49.412</v>
      </c>
      <c r="J135" s="19" t="s">
        <v>236</v>
      </c>
      <c r="K135" s="37">
        <f>H135</f>
        <v>49.412</v>
      </c>
      <c r="L135" s="87">
        <v>49.412</v>
      </c>
      <c r="M135" s="64" t="s">
        <v>236</v>
      </c>
      <c r="N135" s="29">
        <f>IF(AND(F135&gt;0,K135&gt;0),K135/F135,"-")</f>
        <v>1</v>
      </c>
      <c r="O135" s="29">
        <f>IF(AND(G135&gt;0,L135&gt;0),L135/G135,"-")</f>
        <v>1</v>
      </c>
    </row>
    <row r="136" spans="1:15" s="6" customFormat="1" ht="37.5" customHeight="1">
      <c r="A136" s="50" t="s">
        <v>43</v>
      </c>
      <c r="B136" s="51" t="s">
        <v>8</v>
      </c>
      <c r="C136" s="30" t="s">
        <v>5</v>
      </c>
      <c r="D136" s="31">
        <f aca="true" t="shared" si="13" ref="D136:I136">SUM(D137:D139)</f>
        <v>0</v>
      </c>
      <c r="E136" s="31">
        <f t="shared" si="13"/>
        <v>0</v>
      </c>
      <c r="F136" s="31">
        <f t="shared" si="13"/>
        <v>0</v>
      </c>
      <c r="G136" s="31">
        <f t="shared" si="13"/>
        <v>0</v>
      </c>
      <c r="H136" s="31">
        <f t="shared" si="13"/>
        <v>0</v>
      </c>
      <c r="I136" s="31">
        <f t="shared" si="13"/>
        <v>0</v>
      </c>
      <c r="J136" s="32"/>
      <c r="K136" s="31">
        <f>SUM(K137:K139)</f>
        <v>0</v>
      </c>
      <c r="L136" s="31"/>
      <c r="M136" s="32"/>
      <c r="N136" s="29" t="str">
        <f>IF(AND(F136&gt;0,K136&gt;0),K136/F136,"-")</f>
        <v>-</v>
      </c>
      <c r="O136" s="29" t="str">
        <f>IF(AND(G136&gt;0,L136&gt;0),L136/G136,"-")</f>
        <v>-</v>
      </c>
    </row>
    <row r="137" spans="1:15" ht="48" customHeight="1">
      <c r="A137" s="39" t="s">
        <v>101</v>
      </c>
      <c r="B137" s="45" t="s">
        <v>19</v>
      </c>
      <c r="C137" s="21" t="s">
        <v>5</v>
      </c>
      <c r="D137" s="37"/>
      <c r="E137" s="37"/>
      <c r="F137" s="37"/>
      <c r="G137" s="37"/>
      <c r="H137" s="37"/>
      <c r="I137" s="37"/>
      <c r="J137" s="32"/>
      <c r="K137" s="37"/>
      <c r="L137" s="37"/>
      <c r="M137" s="32"/>
      <c r="N137" s="29" t="str">
        <f>IF(AND(F137&gt;0,K137&gt;0),K137/F137,"-")</f>
        <v>-</v>
      </c>
      <c r="O137" s="29" t="str">
        <f>IF(AND(G137&gt;0,L137&gt;0),L137/G137,"-")</f>
        <v>-</v>
      </c>
    </row>
    <row r="138" spans="1:15" ht="105" customHeight="1">
      <c r="A138" s="39" t="s">
        <v>102</v>
      </c>
      <c r="B138" s="45" t="s">
        <v>18</v>
      </c>
      <c r="C138" s="21" t="s">
        <v>5</v>
      </c>
      <c r="D138" s="37"/>
      <c r="E138" s="37"/>
      <c r="F138" s="37"/>
      <c r="G138" s="37"/>
      <c r="H138" s="37"/>
      <c r="I138" s="37"/>
      <c r="J138" s="32"/>
      <c r="K138" s="37"/>
      <c r="L138" s="37"/>
      <c r="M138" s="32"/>
      <c r="N138" s="29" t="str">
        <f>IF(AND(F138&gt;0,K138&gt;0),K138/F138,"-")</f>
        <v>-</v>
      </c>
      <c r="O138" s="29" t="str">
        <f>IF(AND(G138&gt;0,L138&gt;0),L138/G138,"-")</f>
        <v>-</v>
      </c>
    </row>
    <row r="139" spans="1:15" ht="58.5" customHeight="1">
      <c r="A139" s="39" t="s">
        <v>103</v>
      </c>
      <c r="B139" s="45" t="s">
        <v>32</v>
      </c>
      <c r="C139" s="21" t="s">
        <v>5</v>
      </c>
      <c r="D139" s="37"/>
      <c r="E139" s="37"/>
      <c r="F139" s="37"/>
      <c r="G139" s="37"/>
      <c r="H139" s="37"/>
      <c r="I139" s="37"/>
      <c r="J139" s="32"/>
      <c r="K139" s="37"/>
      <c r="L139" s="37"/>
      <c r="M139" s="32"/>
      <c r="N139" s="29" t="str">
        <f>IF(AND(F139&gt;0,K139&gt;0),K139/F139,"-")</f>
        <v>-</v>
      </c>
      <c r="O139" s="29" t="str">
        <f>IF(AND(G139&gt;0,L139&gt;0),L139/G139,"-")</f>
        <v>-</v>
      </c>
    </row>
    <row r="140" spans="1:15" s="6" customFormat="1" ht="81.75" customHeight="1">
      <c r="A140" s="39" t="s">
        <v>44</v>
      </c>
      <c r="B140" s="41" t="s">
        <v>165</v>
      </c>
      <c r="C140" s="39" t="s">
        <v>5</v>
      </c>
      <c r="D140" s="42"/>
      <c r="E140" s="42"/>
      <c r="F140" s="82">
        <v>142.549</v>
      </c>
      <c r="G140" s="82">
        <v>142.549</v>
      </c>
      <c r="H140" s="82">
        <v>147.198</v>
      </c>
      <c r="I140" s="82">
        <f>147.198</f>
        <v>147.198</v>
      </c>
      <c r="J140" s="32" t="s">
        <v>236</v>
      </c>
      <c r="K140" s="42">
        <v>147.98</v>
      </c>
      <c r="L140" s="82">
        <v>147.198</v>
      </c>
      <c r="M140" s="32" t="s">
        <v>236</v>
      </c>
      <c r="N140" s="29">
        <f>IF(AND(F140&gt;0,K140&gt;0),K140/F140,"-")</f>
        <v>1.0380991799311112</v>
      </c>
      <c r="O140" s="29">
        <f>IF(AND(G140&gt;0,L140&gt;0),L140/G140,"-")</f>
        <v>1.0326133469894563</v>
      </c>
    </row>
    <row r="141" spans="1:15" s="6" customFormat="1" ht="60" customHeight="1">
      <c r="A141" s="39" t="s">
        <v>45</v>
      </c>
      <c r="B141" s="41" t="s">
        <v>198</v>
      </c>
      <c r="C141" s="39" t="s">
        <v>5</v>
      </c>
      <c r="D141" s="42"/>
      <c r="E141" s="42"/>
      <c r="F141" s="42"/>
      <c r="G141" s="42"/>
      <c r="H141" s="42"/>
      <c r="I141" s="42"/>
      <c r="J141" s="32"/>
      <c r="K141" s="42" t="s">
        <v>223</v>
      </c>
      <c r="L141" s="42"/>
      <c r="M141" s="32"/>
      <c r="N141" s="29" t="str">
        <f>IF(AND(F141&gt;0,K141&gt;0),K141/F141,"-")</f>
        <v>-</v>
      </c>
      <c r="O141" s="29" t="str">
        <f>IF(AND(G141&gt;0,L141&gt;0),L141/G141,"-")</f>
        <v>-</v>
      </c>
    </row>
    <row r="142" spans="1:15" s="6" customFormat="1" ht="42" customHeight="1">
      <c r="A142" s="39" t="s">
        <v>46</v>
      </c>
      <c r="B142" s="41" t="s">
        <v>197</v>
      </c>
      <c r="C142" s="39" t="s">
        <v>5</v>
      </c>
      <c r="D142" s="42"/>
      <c r="E142" s="42"/>
      <c r="F142" s="42"/>
      <c r="G142" s="42"/>
      <c r="H142" s="42"/>
      <c r="I142" s="42"/>
      <c r="J142" s="32"/>
      <c r="K142" s="42"/>
      <c r="L142" s="42"/>
      <c r="M142" s="32"/>
      <c r="N142" s="29" t="str">
        <f>IF(AND(F142&gt;0,K142&gt;0),K142/F142,"-")</f>
        <v>-</v>
      </c>
      <c r="O142" s="29" t="str">
        <f>IF(AND(G142&gt;0,L142&gt;0),L142/G142,"-")</f>
        <v>-</v>
      </c>
    </row>
    <row r="143" spans="1:15" s="6" customFormat="1" ht="18" customHeight="1">
      <c r="A143" s="30" t="s">
        <v>65</v>
      </c>
      <c r="B143" s="73" t="str">
        <f>IF($C$31="да","Необходимая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43" s="30" t="s">
        <v>5</v>
      </c>
      <c r="D143" s="31">
        <f aca="true" t="shared" si="14" ref="D143:I143">ROUND(D32,1)+ROUND(D135,1)+ROUND(D136,1)+ROUND(D140,1)+ROUND(D141,1)+ROUND(D142,1)</f>
        <v>0</v>
      </c>
      <c r="E143" s="31">
        <f t="shared" si="14"/>
        <v>856.3</v>
      </c>
      <c r="F143" s="31">
        <f t="shared" si="14"/>
        <v>2993.5</v>
      </c>
      <c r="G143" s="31">
        <f t="shared" si="14"/>
        <v>2993.5</v>
      </c>
      <c r="H143" s="83">
        <f t="shared" si="14"/>
        <v>3091.2</v>
      </c>
      <c r="I143" s="83">
        <f t="shared" si="14"/>
        <v>4325.7</v>
      </c>
      <c r="J143" s="32" t="s">
        <v>105</v>
      </c>
      <c r="K143" s="31" t="e">
        <f>ROUND(K32,1)+ROUND(K135,1)+ROUND(K136,1)+ROUND(K140,1)+ROUND(K141,1)+ROUND(K142,1)</f>
        <v>#VALUE!</v>
      </c>
      <c r="L143" s="31">
        <f>ROUND(L32,1)+ROUND(L135,1)+ROUND(L136,1)+ROUND(L140,1)+ROUND(L141,1)+ROUND(L142,1)</f>
        <v>3965.7999999999997</v>
      </c>
      <c r="M143" s="32" t="s">
        <v>105</v>
      </c>
      <c r="N143" s="29" t="e">
        <f>IF(AND(F143&gt;0,K143&gt;0),K143/F143,"-")</f>
        <v>#VALUE!</v>
      </c>
      <c r="O143" s="29">
        <f>IF(AND(G143&gt;0,L143&gt;0),L143/G143,"-")</f>
        <v>1.3248037414397862</v>
      </c>
    </row>
    <row r="144" spans="1:15" s="6" customFormat="1" ht="61.5" customHeight="1">
      <c r="A144" s="30" t="s">
        <v>209</v>
      </c>
      <c r="B144" s="74" t="str">
        <f>IF($C$31="Да","Тариф (без учета НДС)","Тариф (НДС не облагается)")</f>
        <v>Тариф (НДС не облагается)</v>
      </c>
      <c r="C144" s="75" t="s">
        <v>10</v>
      </c>
      <c r="D144" s="76">
        <v>52.79</v>
      </c>
      <c r="E144" s="76" t="e">
        <f>ROUND(E143,1)/ROUND(E14,1)*1000</f>
        <v>#DIV/0!</v>
      </c>
      <c r="F144" s="76">
        <f>ROUND(F143,1)/ROUND(F14,1)*1000</f>
        <v>78.90505561705942</v>
      </c>
      <c r="G144" s="76">
        <f>ROUND(G143,1)/ROUND(G14,1)*1000</f>
        <v>78.90505561705942</v>
      </c>
      <c r="H144" s="76">
        <f>ROUND(H143,1)/ROUND(H14,1)*1000</f>
        <v>81.48030997944014</v>
      </c>
      <c r="I144" s="76">
        <f>ROUND(I143,1)/ROUND(I14,1)*1000</f>
        <v>114.02024355527439</v>
      </c>
      <c r="J144" s="32" t="s">
        <v>201</v>
      </c>
      <c r="K144" s="76" t="e">
        <f>ROUND(K143,1)/ROUND(K14,1)*1000</f>
        <v>#VALUE!</v>
      </c>
      <c r="L144" s="76">
        <f>ROUND(L143,1)/ROUND(L14,1)*1000</f>
        <v>104.53371289999473</v>
      </c>
      <c r="M144" s="32" t="s">
        <v>202</v>
      </c>
      <c r="N144" s="29" t="e">
        <f>IF(AND(F144&gt;0,K144&gt;0),K144/F144,"-")</f>
        <v>#VALUE!</v>
      </c>
      <c r="O144" s="29">
        <f>IF(AND(G144&gt;0,L144&gt;0),L144/G144,"-")</f>
        <v>1.3248037414397862</v>
      </c>
    </row>
    <row r="145" spans="1:15" s="6" customFormat="1" ht="59.25" customHeight="1">
      <c r="A145" s="30" t="s">
        <v>210</v>
      </c>
      <c r="B145" s="74" t="str">
        <f>IF($C$31="Да","Тариф (без учета НДС)","Тариф (НДС не облагается)")</f>
        <v>Тариф (НДС не облагается)</v>
      </c>
      <c r="C145" s="75" t="s">
        <v>166</v>
      </c>
      <c r="D145" s="76" t="e">
        <f aca="true" t="shared" si="15" ref="D145:I145">ROUND(D143,1)/ROUND(D15,1)*1000</f>
        <v>#DIV/0!</v>
      </c>
      <c r="E145" s="76" t="e">
        <f t="shared" si="15"/>
        <v>#DIV/0!</v>
      </c>
      <c r="F145" s="76">
        <f t="shared" si="15"/>
        <v>315.62022246823767</v>
      </c>
      <c r="G145" s="76">
        <f t="shared" si="15"/>
        <v>315.62022246823767</v>
      </c>
      <c r="H145" s="76">
        <f t="shared" si="15"/>
        <v>325.92123991776054</v>
      </c>
      <c r="I145" s="76">
        <f t="shared" si="15"/>
        <v>456.08097422109756</v>
      </c>
      <c r="J145" s="32" t="s">
        <v>203</v>
      </c>
      <c r="K145" s="76" t="e">
        <f>ROUND(K143,1)/ROUND(K15,1)*1000</f>
        <v>#VALUE!</v>
      </c>
      <c r="L145" s="76">
        <f>ROUND(L143,1)/ROUND(L15,1)*1000</f>
        <v>418.1348515999789</v>
      </c>
      <c r="M145" s="32" t="s">
        <v>204</v>
      </c>
      <c r="N145" s="29" t="e">
        <f>IF(AND(F145&gt;0,K145&gt;0),K145/F145,"-")</f>
        <v>#VALUE!</v>
      </c>
      <c r="O145" s="29">
        <f>IF(AND(G145&gt;0,L145&gt;0),L145/G145,"-")</f>
        <v>1.3248037414397862</v>
      </c>
    </row>
    <row r="146" spans="1:15" ht="15" customHeight="1">
      <c r="A146" s="36"/>
      <c r="B146" s="77" t="s">
        <v>9</v>
      </c>
      <c r="C146" s="36" t="s">
        <v>2</v>
      </c>
      <c r="D146" s="36"/>
      <c r="E146" s="36"/>
      <c r="F146" s="59">
        <f>F144/D144</f>
        <v>1.4946970186978485</v>
      </c>
      <c r="G146" s="59">
        <v>1.495</v>
      </c>
      <c r="H146" s="59">
        <f>H144/F144</f>
        <v>1.0326373809921496</v>
      </c>
      <c r="I146" s="59">
        <f>I144/G144</f>
        <v>1.4450309002839483</v>
      </c>
      <c r="J146" s="78"/>
      <c r="K146" s="59" t="e">
        <f>K144/F144</f>
        <v>#VALUE!</v>
      </c>
      <c r="L146" s="85">
        <f>L144/F144</f>
        <v>1.3248037414397862</v>
      </c>
      <c r="M146" s="78"/>
      <c r="N146" s="79"/>
      <c r="O146" s="29">
        <f>IF(AND(G146&gt;0,L146&gt;0),L146/G146,"-")</f>
        <v>0.8861563487891546</v>
      </c>
    </row>
    <row r="147" spans="1:14" ht="18.75">
      <c r="A147" s="7"/>
      <c r="B147" s="7"/>
      <c r="C147" s="7"/>
      <c r="D147" s="7"/>
      <c r="E147" s="7"/>
      <c r="F147" s="7"/>
      <c r="G147" s="7"/>
      <c r="H147" s="7"/>
      <c r="I147" s="7"/>
      <c r="J147" s="13"/>
      <c r="K147" s="7"/>
      <c r="L147" s="86"/>
      <c r="M147" s="13"/>
      <c r="N147" s="13"/>
    </row>
    <row r="148" spans="1:14" ht="23.25" customHeight="1">
      <c r="A148" s="7" t="s">
        <v>106</v>
      </c>
      <c r="B148" s="7"/>
      <c r="C148" s="250"/>
      <c r="D148" s="7"/>
      <c r="E148" s="7"/>
      <c r="F148" s="7"/>
      <c r="G148" s="7"/>
      <c r="H148" s="7"/>
      <c r="I148" s="7"/>
      <c r="J148" s="13"/>
      <c r="K148" s="7"/>
      <c r="L148" s="7" t="s">
        <v>230</v>
      </c>
      <c r="M148" s="13"/>
      <c r="N148" s="13"/>
    </row>
    <row r="149" spans="1:14" ht="25.5" customHeight="1">
      <c r="A149" s="7"/>
      <c r="B149" s="7"/>
      <c r="C149" s="251"/>
      <c r="D149" s="7">
        <v>52.79</v>
      </c>
      <c r="E149" s="7"/>
      <c r="F149" s="7"/>
      <c r="G149" s="7"/>
      <c r="H149" s="7"/>
      <c r="I149" s="7"/>
      <c r="J149" s="13"/>
      <c r="K149" s="7"/>
      <c r="L149" s="246" t="s">
        <v>249</v>
      </c>
      <c r="M149" s="247"/>
      <c r="N149" s="13"/>
    </row>
    <row r="150" spans="1:14" ht="29.25" customHeight="1">
      <c r="A150" s="7"/>
      <c r="B150" s="7"/>
      <c r="C150" s="7"/>
      <c r="D150" s="80"/>
      <c r="E150" s="7"/>
      <c r="F150" s="7"/>
      <c r="G150" s="7"/>
      <c r="H150" s="7"/>
      <c r="I150" s="7"/>
      <c r="J150" s="202" t="s">
        <v>230</v>
      </c>
      <c r="K150" s="202"/>
      <c r="L150" s="12"/>
      <c r="M150" s="13"/>
      <c r="N150" s="13"/>
    </row>
  </sheetData>
  <sheetProtection formatCells="0" formatColumns="0" formatRows="0" insertColumns="0" insertRows="0" insertHyperlinks="0" deleteColumns="0" deleteRows="0" sort="0" autoFilter="0" pivotTables="0"/>
  <mergeCells count="31">
    <mergeCell ref="J150:K150"/>
    <mergeCell ref="F5:J5"/>
    <mergeCell ref="B7:M7"/>
    <mergeCell ref="B6:M6"/>
    <mergeCell ref="C2:M2"/>
    <mergeCell ref="L149:M149"/>
    <mergeCell ref="O9:O11"/>
    <mergeCell ref="N9:N11"/>
    <mergeCell ref="F9:G9"/>
    <mergeCell ref="M9:M11"/>
    <mergeCell ref="A22:A23"/>
    <mergeCell ref="A9:A11"/>
    <mergeCell ref="A14:A16"/>
    <mergeCell ref="B19:B20"/>
    <mergeCell ref="E3:K3"/>
    <mergeCell ref="F4:J4"/>
    <mergeCell ref="D9:E9"/>
    <mergeCell ref="J9:J11"/>
    <mergeCell ref="D10:E10"/>
    <mergeCell ref="F10:G10"/>
    <mergeCell ref="C9:C11"/>
    <mergeCell ref="A24:A25"/>
    <mergeCell ref="B22:B23"/>
    <mergeCell ref="B24:B25"/>
    <mergeCell ref="B9:B11"/>
    <mergeCell ref="A26:A27"/>
    <mergeCell ref="B26:B27"/>
    <mergeCell ref="B14:B15"/>
    <mergeCell ref="B17:B18"/>
    <mergeCell ref="A17:A18"/>
    <mergeCell ref="A19:A20"/>
  </mergeCells>
  <dataValidations count="2">
    <dataValidation type="list" allowBlank="1" showInputMessage="1" showErrorMessage="1" sqref="C31">
      <formula1>"Да, Нет"</formula1>
    </dataValidation>
    <dataValidation type="list" allowBlank="1" showInputMessage="1" showErrorMessage="1" sqref="F4">
      <formula1>"захоронение твердых коммунальных отходов, обработку твердых коммунальных отходов, обезвреживание твердых коммунальных отходов"</formula1>
    </dataValidation>
  </dataValidation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37">
      <selection activeCell="B52" sqref="B52"/>
    </sheetView>
  </sheetViews>
  <sheetFormatPr defaultColWidth="0.875" defaultRowHeight="12.75"/>
  <cols>
    <col min="1" max="1" width="12.00390625" style="93" customWidth="1"/>
    <col min="2" max="2" width="51.375" style="93" customWidth="1"/>
    <col min="3" max="3" width="12.875" style="93" customWidth="1"/>
    <col min="4" max="5" width="14.125" style="93" hidden="1" customWidth="1"/>
    <col min="6" max="7" width="14.125" style="93" customWidth="1"/>
    <col min="8" max="9" width="15.00390625" style="93" customWidth="1"/>
    <col min="10" max="10" width="35.75390625" style="94" hidden="1" customWidth="1"/>
    <col min="11" max="11" width="14.375" style="93" hidden="1" customWidth="1"/>
    <col min="12" max="12" width="14.375" style="93" customWidth="1"/>
    <col min="13" max="13" width="35.75390625" style="94" customWidth="1"/>
    <col min="14" max="14" width="12.75390625" style="94" hidden="1" customWidth="1"/>
    <col min="15" max="15" width="12.875" style="93" customWidth="1"/>
    <col min="16" max="16" width="5.875" style="93" customWidth="1"/>
    <col min="17" max="16384" width="0.875" style="93" customWidth="1"/>
  </cols>
  <sheetData>
    <row r="1" ht="18.75" customHeight="1">
      <c r="N1" s="95"/>
    </row>
    <row r="2" ht="18.75" customHeight="1"/>
    <row r="3" spans="2:15" s="96" customFormat="1" ht="18.75" customHeight="1">
      <c r="B3" s="97"/>
      <c r="C3" s="97"/>
      <c r="D3" s="97"/>
      <c r="E3" s="213" t="s">
        <v>231</v>
      </c>
      <c r="F3" s="213"/>
      <c r="G3" s="213"/>
      <c r="H3" s="213"/>
      <c r="I3" s="213"/>
      <c r="J3" s="213"/>
      <c r="K3" s="213"/>
      <c r="L3" s="98"/>
      <c r="M3" s="97"/>
      <c r="N3" s="97"/>
      <c r="O3" s="97"/>
    </row>
    <row r="4" spans="2:15" s="99" customFormat="1" ht="18.75" customHeight="1">
      <c r="B4" s="97"/>
      <c r="C4" s="97"/>
      <c r="D4" s="97"/>
      <c r="E4" s="97"/>
      <c r="F4" s="213" t="s">
        <v>169</v>
      </c>
      <c r="G4" s="213"/>
      <c r="H4" s="213"/>
      <c r="I4" s="213"/>
      <c r="J4" s="213"/>
      <c r="K4" s="97"/>
      <c r="L4" s="97"/>
      <c r="M4" s="97"/>
      <c r="N4" s="97"/>
      <c r="O4" s="97"/>
    </row>
    <row r="5" spans="2:15" s="99" customFormat="1" ht="18.75" customHeight="1">
      <c r="B5" s="100"/>
      <c r="C5" s="100"/>
      <c r="D5" s="100"/>
      <c r="E5" s="100"/>
      <c r="F5" s="214" t="s">
        <v>208</v>
      </c>
      <c r="G5" s="214"/>
      <c r="H5" s="214"/>
      <c r="I5" s="214"/>
      <c r="J5" s="214"/>
      <c r="K5" s="100"/>
      <c r="L5" s="100"/>
      <c r="M5" s="100"/>
      <c r="N5" s="100"/>
      <c r="O5" s="100"/>
    </row>
    <row r="6" spans="1:15" ht="18.75" customHeight="1">
      <c r="A6" s="97"/>
      <c r="B6" s="100"/>
      <c r="C6" s="215" t="s">
        <v>229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100"/>
      <c r="O6" s="100"/>
    </row>
    <row r="7" spans="2:15" ht="18.75" customHeight="1">
      <c r="B7" s="101"/>
      <c r="C7" s="216" t="s">
        <v>205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01"/>
      <c r="O7" s="101"/>
    </row>
    <row r="8" spans="10:14" s="96" customFormat="1" ht="17.25" customHeight="1">
      <c r="J8" s="102"/>
      <c r="M8" s="102"/>
      <c r="N8" s="102"/>
    </row>
    <row r="9" spans="1:15" ht="156.75" customHeight="1">
      <c r="A9" s="217" t="s">
        <v>3</v>
      </c>
      <c r="B9" s="220" t="s">
        <v>61</v>
      </c>
      <c r="C9" s="217" t="s">
        <v>4</v>
      </c>
      <c r="D9" s="223"/>
      <c r="E9" s="224"/>
      <c r="F9" s="223"/>
      <c r="G9" s="224"/>
      <c r="H9" s="103" t="s">
        <v>228</v>
      </c>
      <c r="I9" s="103" t="s">
        <v>215</v>
      </c>
      <c r="J9" s="217" t="s">
        <v>200</v>
      </c>
      <c r="K9" s="103" t="s">
        <v>216</v>
      </c>
      <c r="L9" s="103" t="s">
        <v>216</v>
      </c>
      <c r="M9" s="225" t="s">
        <v>199</v>
      </c>
      <c r="N9" s="217" t="s">
        <v>108</v>
      </c>
      <c r="O9" s="217" t="s">
        <v>108</v>
      </c>
    </row>
    <row r="10" spans="1:15" ht="15" customHeight="1">
      <c r="A10" s="218"/>
      <c r="B10" s="221"/>
      <c r="C10" s="218"/>
      <c r="D10" s="223" t="s">
        <v>212</v>
      </c>
      <c r="E10" s="224"/>
      <c r="F10" s="223" t="s">
        <v>213</v>
      </c>
      <c r="G10" s="224"/>
      <c r="H10" s="104" t="s">
        <v>214</v>
      </c>
      <c r="I10" s="104" t="s">
        <v>214</v>
      </c>
      <c r="J10" s="218"/>
      <c r="K10" s="104" t="s">
        <v>214</v>
      </c>
      <c r="L10" s="104" t="s">
        <v>214</v>
      </c>
      <c r="M10" s="226"/>
      <c r="N10" s="218"/>
      <c r="O10" s="218"/>
    </row>
    <row r="11" spans="1:15" ht="13.5" customHeight="1">
      <c r="A11" s="219"/>
      <c r="B11" s="222"/>
      <c r="C11" s="219"/>
      <c r="D11" s="105" t="s">
        <v>0</v>
      </c>
      <c r="E11" s="105" t="s">
        <v>1</v>
      </c>
      <c r="F11" s="105" t="s">
        <v>0</v>
      </c>
      <c r="G11" s="105" t="s">
        <v>149</v>
      </c>
      <c r="H11" s="104" t="s">
        <v>0</v>
      </c>
      <c r="I11" s="104" t="s">
        <v>0</v>
      </c>
      <c r="J11" s="219"/>
      <c r="K11" s="104" t="s">
        <v>0</v>
      </c>
      <c r="L11" s="104" t="s">
        <v>0</v>
      </c>
      <c r="M11" s="227"/>
      <c r="N11" s="219"/>
      <c r="O11" s="219"/>
    </row>
    <row r="12" spans="1:15" ht="15.75">
      <c r="A12" s="106"/>
      <c r="B12" s="107" t="s">
        <v>153</v>
      </c>
      <c r="C12" s="108"/>
      <c r="J12" s="108"/>
      <c r="M12" s="108"/>
      <c r="N12" s="108"/>
      <c r="O12" s="108"/>
    </row>
    <row r="13" spans="1:15" ht="15" customHeight="1">
      <c r="A13" s="109" t="s">
        <v>41</v>
      </c>
      <c r="B13" s="110" t="s">
        <v>162</v>
      </c>
      <c r="C13" s="111" t="s">
        <v>163</v>
      </c>
      <c r="D13" s="112"/>
      <c r="E13" s="112"/>
      <c r="F13" s="112">
        <v>0.25</v>
      </c>
      <c r="G13" s="112">
        <v>0.25</v>
      </c>
      <c r="H13" s="112">
        <v>0.25</v>
      </c>
      <c r="I13" s="112">
        <f>H13</f>
        <v>0.25</v>
      </c>
      <c r="J13" s="113"/>
      <c r="K13" s="112">
        <v>0.25</v>
      </c>
      <c r="L13" s="112">
        <f>F13</f>
        <v>0.25</v>
      </c>
      <c r="M13" s="113"/>
      <c r="N13" s="114">
        <f aca="true" t="shared" si="0" ref="N13:O15">IF(AND(F13&gt;0,K13&gt;0),K13/F13,"-")</f>
        <v>1</v>
      </c>
      <c r="O13" s="114">
        <f t="shared" si="0"/>
        <v>1</v>
      </c>
    </row>
    <row r="14" spans="1:15" s="96" customFormat="1" ht="15" customHeight="1">
      <c r="A14" s="228" t="s">
        <v>42</v>
      </c>
      <c r="B14" s="231" t="s">
        <v>154</v>
      </c>
      <c r="C14" s="115" t="s">
        <v>31</v>
      </c>
      <c r="D14" s="116">
        <f aca="true" t="shared" si="1" ref="D14:H15">ROUND(D17,1)+ROUND(D19,1)</f>
        <v>0</v>
      </c>
      <c r="E14" s="116">
        <f t="shared" si="1"/>
        <v>0</v>
      </c>
      <c r="F14" s="116">
        <f t="shared" si="1"/>
        <v>37938</v>
      </c>
      <c r="G14" s="116">
        <f t="shared" si="1"/>
        <v>37938</v>
      </c>
      <c r="H14" s="116">
        <f t="shared" si="1"/>
        <v>37938</v>
      </c>
      <c r="I14" s="112">
        <f>H14</f>
        <v>37938</v>
      </c>
      <c r="J14" s="117"/>
      <c r="K14" s="116">
        <f>ROUND(K17,1)+ROUND(K19,1)</f>
        <v>37938</v>
      </c>
      <c r="L14" s="116">
        <f>F14</f>
        <v>37938</v>
      </c>
      <c r="M14" s="117"/>
      <c r="N14" s="114">
        <f t="shared" si="0"/>
        <v>1</v>
      </c>
      <c r="O14" s="114">
        <f t="shared" si="0"/>
        <v>1</v>
      </c>
    </row>
    <row r="15" spans="1:15" s="96" customFormat="1" ht="15" customHeight="1">
      <c r="A15" s="229"/>
      <c r="B15" s="232"/>
      <c r="C15" s="115" t="s">
        <v>150</v>
      </c>
      <c r="D15" s="116">
        <f t="shared" si="1"/>
        <v>0</v>
      </c>
      <c r="E15" s="116">
        <f t="shared" si="1"/>
        <v>0</v>
      </c>
      <c r="F15" s="116">
        <f t="shared" si="1"/>
        <v>9484.5</v>
      </c>
      <c r="G15" s="116">
        <f t="shared" si="1"/>
        <v>9484.5</v>
      </c>
      <c r="H15" s="116">
        <f t="shared" si="1"/>
        <v>9484.5</v>
      </c>
      <c r="I15" s="112">
        <f>H15</f>
        <v>9484.5</v>
      </c>
      <c r="J15" s="117"/>
      <c r="K15" s="116">
        <f>ROUND(K18,1)+ROUND(K20,1)</f>
        <v>9484.5</v>
      </c>
      <c r="L15" s="116">
        <f>F15</f>
        <v>9484.5</v>
      </c>
      <c r="M15" s="117"/>
      <c r="N15" s="114">
        <f t="shared" si="0"/>
        <v>1</v>
      </c>
      <c r="O15" s="114">
        <f t="shared" si="0"/>
        <v>1</v>
      </c>
    </row>
    <row r="16" spans="1:15" s="96" customFormat="1" ht="39.75" customHeight="1">
      <c r="A16" s="230"/>
      <c r="B16" s="118" t="s">
        <v>221</v>
      </c>
      <c r="C16" s="119"/>
      <c r="D16" s="120" t="e">
        <f>IF(AND(ROUND(D13,2)=ROUND((D15/D14),2),D13&gt;0),"","Ошибка1")</f>
        <v>#DIV/0!</v>
      </c>
      <c r="E16" s="120" t="e">
        <f aca="true" t="shared" si="2" ref="E16:K16">IF(AND(ROUND(E13,2)=ROUND((E15/E14),2),E13&gt;0),"","Ошибка1")</f>
        <v>#DIV/0!</v>
      </c>
      <c r="F16" s="120">
        <f t="shared" si="2"/>
      </c>
      <c r="G16" s="120">
        <f t="shared" si="2"/>
      </c>
      <c r="H16" s="120">
        <f t="shared" si="2"/>
      </c>
      <c r="I16" s="120"/>
      <c r="J16" s="117"/>
      <c r="K16" s="120">
        <f t="shared" si="2"/>
      </c>
      <c r="L16" s="120"/>
      <c r="M16" s="117"/>
      <c r="N16" s="114"/>
      <c r="O16" s="114"/>
    </row>
    <row r="17" spans="1:15" s="96" customFormat="1" ht="15" customHeight="1">
      <c r="A17" s="233" t="s">
        <v>156</v>
      </c>
      <c r="B17" s="235" t="s">
        <v>151</v>
      </c>
      <c r="C17" s="121" t="s">
        <v>31</v>
      </c>
      <c r="D17" s="122"/>
      <c r="E17" s="122"/>
      <c r="F17" s="122">
        <f>G17</f>
        <v>37938</v>
      </c>
      <c r="G17" s="122">
        <v>37938</v>
      </c>
      <c r="H17" s="122">
        <f>G17</f>
        <v>37938</v>
      </c>
      <c r="I17" s="112">
        <f>H17</f>
        <v>37938</v>
      </c>
      <c r="J17" s="117"/>
      <c r="K17" s="122">
        <v>37938</v>
      </c>
      <c r="L17" s="122">
        <f>F17</f>
        <v>37938</v>
      </c>
      <c r="M17" s="117"/>
      <c r="N17" s="114">
        <f aca="true" t="shared" si="3" ref="N17:N27">IF(AND(F17&gt;0,K17&gt;0),K17/F17,"-")</f>
        <v>1</v>
      </c>
      <c r="O17" s="114">
        <f aca="true" t="shared" si="4" ref="O17:O27">IF(AND(G17&gt;0,L17&gt;0),L17/G17,"-")</f>
        <v>1</v>
      </c>
    </row>
    <row r="18" spans="1:15" ht="15" customHeight="1">
      <c r="A18" s="234"/>
      <c r="B18" s="236"/>
      <c r="C18" s="124" t="s">
        <v>150</v>
      </c>
      <c r="D18" s="122"/>
      <c r="E18" s="122"/>
      <c r="F18" s="122">
        <f>F17*F13</f>
        <v>9484.5</v>
      </c>
      <c r="G18" s="122">
        <f>G17*G13</f>
        <v>9484.5</v>
      </c>
      <c r="H18" s="122">
        <f>H17*H13</f>
        <v>9484.5</v>
      </c>
      <c r="I18" s="112">
        <f>H18</f>
        <v>9484.5</v>
      </c>
      <c r="J18" s="117"/>
      <c r="K18" s="122">
        <f>K17*K13</f>
        <v>9484.5</v>
      </c>
      <c r="L18" s="122">
        <f>F18</f>
        <v>9484.5</v>
      </c>
      <c r="M18" s="117"/>
      <c r="N18" s="114">
        <f t="shared" si="3"/>
        <v>1</v>
      </c>
      <c r="O18" s="114">
        <f t="shared" si="4"/>
        <v>1</v>
      </c>
    </row>
    <row r="19" spans="1:15" s="96" customFormat="1" ht="15" customHeight="1">
      <c r="A19" s="233" t="s">
        <v>157</v>
      </c>
      <c r="B19" s="235" t="s">
        <v>152</v>
      </c>
      <c r="C19" s="121" t="s">
        <v>31</v>
      </c>
      <c r="D19" s="122"/>
      <c r="E19" s="122"/>
      <c r="F19" s="122"/>
      <c r="G19" s="122"/>
      <c r="H19" s="122"/>
      <c r="I19" s="122"/>
      <c r="J19" s="117"/>
      <c r="K19" s="122"/>
      <c r="L19" s="122"/>
      <c r="M19" s="117"/>
      <c r="N19" s="114" t="str">
        <f t="shared" si="3"/>
        <v>-</v>
      </c>
      <c r="O19" s="114" t="str">
        <f t="shared" si="4"/>
        <v>-</v>
      </c>
    </row>
    <row r="20" spans="1:15" s="96" customFormat="1" ht="15" customHeight="1">
      <c r="A20" s="234"/>
      <c r="B20" s="236"/>
      <c r="C20" s="124" t="s">
        <v>150</v>
      </c>
      <c r="D20" s="122"/>
      <c r="E20" s="122"/>
      <c r="F20" s="122"/>
      <c r="G20" s="122"/>
      <c r="H20" s="122"/>
      <c r="I20" s="122"/>
      <c r="J20" s="117"/>
      <c r="K20" s="122"/>
      <c r="L20" s="122"/>
      <c r="M20" s="117"/>
      <c r="N20" s="114" t="str">
        <f t="shared" si="3"/>
        <v>-</v>
      </c>
      <c r="O20" s="114" t="str">
        <f t="shared" si="4"/>
        <v>-</v>
      </c>
    </row>
    <row r="21" spans="1:15" s="96" customFormat="1" ht="15" customHeight="1">
      <c r="A21" s="123" t="s">
        <v>43</v>
      </c>
      <c r="B21" s="125" t="s">
        <v>155</v>
      </c>
      <c r="C21" s="124"/>
      <c r="D21" s="122"/>
      <c r="E21" s="122"/>
      <c r="F21" s="122"/>
      <c r="G21" s="122"/>
      <c r="H21" s="122"/>
      <c r="I21" s="122"/>
      <c r="J21" s="117"/>
      <c r="K21" s="122"/>
      <c r="L21" s="122"/>
      <c r="M21" s="117"/>
      <c r="N21" s="114" t="str">
        <f t="shared" si="3"/>
        <v>-</v>
      </c>
      <c r="O21" s="114" t="str">
        <f t="shared" si="4"/>
        <v>-</v>
      </c>
    </row>
    <row r="22" spans="1:15" s="96" customFormat="1" ht="15" customHeight="1">
      <c r="A22" s="233" t="s">
        <v>101</v>
      </c>
      <c r="B22" s="235" t="s">
        <v>158</v>
      </c>
      <c r="C22" s="121" t="s">
        <v>31</v>
      </c>
      <c r="D22" s="122"/>
      <c r="E22" s="122"/>
      <c r="F22" s="122">
        <f>F17</f>
        <v>37938</v>
      </c>
      <c r="G22" s="122">
        <f>G17</f>
        <v>37938</v>
      </c>
      <c r="H22" s="122">
        <f>H17</f>
        <v>37938</v>
      </c>
      <c r="I22" s="122">
        <f>I17</f>
        <v>37938</v>
      </c>
      <c r="J22" s="117"/>
      <c r="K22" s="122">
        <f>K17</f>
        <v>37938</v>
      </c>
      <c r="L22" s="122">
        <f>F22</f>
        <v>37938</v>
      </c>
      <c r="M22" s="117"/>
      <c r="N22" s="114">
        <f t="shared" si="3"/>
        <v>1</v>
      </c>
      <c r="O22" s="114">
        <f t="shared" si="4"/>
        <v>1</v>
      </c>
    </row>
    <row r="23" spans="1:15" s="96" customFormat="1" ht="15" customHeight="1">
      <c r="A23" s="234"/>
      <c r="B23" s="236"/>
      <c r="C23" s="124" t="s">
        <v>150</v>
      </c>
      <c r="D23" s="122"/>
      <c r="E23" s="122"/>
      <c r="F23" s="122">
        <f>F22*F13</f>
        <v>9484.5</v>
      </c>
      <c r="G23" s="122">
        <f>G22*G13</f>
        <v>9484.5</v>
      </c>
      <c r="H23" s="122">
        <f>H22*H13</f>
        <v>9484.5</v>
      </c>
      <c r="I23" s="122">
        <f>I22*I13</f>
        <v>9484.5</v>
      </c>
      <c r="J23" s="117"/>
      <c r="K23" s="122">
        <f>K22*K13</f>
        <v>9484.5</v>
      </c>
      <c r="L23" s="122">
        <f>F23</f>
        <v>9484.5</v>
      </c>
      <c r="M23" s="117"/>
      <c r="N23" s="114">
        <f t="shared" si="3"/>
        <v>1</v>
      </c>
      <c r="O23" s="114">
        <f t="shared" si="4"/>
        <v>1</v>
      </c>
    </row>
    <row r="24" spans="1:15" s="96" customFormat="1" ht="15" customHeight="1">
      <c r="A24" s="233" t="s">
        <v>102</v>
      </c>
      <c r="B24" s="235" t="s">
        <v>159</v>
      </c>
      <c r="C24" s="121" t="s">
        <v>31</v>
      </c>
      <c r="D24" s="122"/>
      <c r="E24" s="122"/>
      <c r="F24" s="122">
        <v>0</v>
      </c>
      <c r="G24" s="122">
        <v>0</v>
      </c>
      <c r="H24" s="122">
        <v>0</v>
      </c>
      <c r="I24" s="122">
        <v>0</v>
      </c>
      <c r="J24" s="117"/>
      <c r="K24" s="122">
        <v>0</v>
      </c>
      <c r="L24" s="122"/>
      <c r="M24" s="117"/>
      <c r="N24" s="114" t="str">
        <f t="shared" si="3"/>
        <v>-</v>
      </c>
      <c r="O24" s="114" t="str">
        <f t="shared" si="4"/>
        <v>-</v>
      </c>
    </row>
    <row r="25" spans="1:15" s="96" customFormat="1" ht="15" customHeight="1">
      <c r="A25" s="234"/>
      <c r="B25" s="236"/>
      <c r="C25" s="124" t="s">
        <v>150</v>
      </c>
      <c r="D25" s="122"/>
      <c r="E25" s="122"/>
      <c r="F25" s="122">
        <v>0</v>
      </c>
      <c r="G25" s="122">
        <v>0</v>
      </c>
      <c r="H25" s="122">
        <v>0</v>
      </c>
      <c r="I25" s="122">
        <v>0</v>
      </c>
      <c r="J25" s="117"/>
      <c r="K25" s="122">
        <v>0</v>
      </c>
      <c r="L25" s="122"/>
      <c r="M25" s="117"/>
      <c r="N25" s="114" t="str">
        <f t="shared" si="3"/>
        <v>-</v>
      </c>
      <c r="O25" s="114" t="str">
        <f t="shared" si="4"/>
        <v>-</v>
      </c>
    </row>
    <row r="26" spans="1:15" s="96" customFormat="1" ht="15" customHeight="1">
      <c r="A26" s="233" t="s">
        <v>103</v>
      </c>
      <c r="B26" s="235" t="s">
        <v>160</v>
      </c>
      <c r="C26" s="121" t="s">
        <v>31</v>
      </c>
      <c r="D26" s="122"/>
      <c r="E26" s="122"/>
      <c r="F26" s="122"/>
      <c r="G26" s="122"/>
      <c r="H26" s="122"/>
      <c r="I26" s="122"/>
      <c r="J26" s="117"/>
      <c r="K26" s="122"/>
      <c r="L26" s="122"/>
      <c r="M26" s="117"/>
      <c r="N26" s="114" t="str">
        <f t="shared" si="3"/>
        <v>-</v>
      </c>
      <c r="O26" s="114" t="str">
        <f t="shared" si="4"/>
        <v>-</v>
      </c>
    </row>
    <row r="27" spans="1:15" s="96" customFormat="1" ht="15" customHeight="1">
      <c r="A27" s="234"/>
      <c r="B27" s="236"/>
      <c r="C27" s="124" t="s">
        <v>150</v>
      </c>
      <c r="D27" s="122"/>
      <c r="E27" s="122"/>
      <c r="F27" s="122"/>
      <c r="G27" s="122"/>
      <c r="H27" s="122"/>
      <c r="I27" s="122"/>
      <c r="J27" s="117"/>
      <c r="K27" s="122"/>
      <c r="L27" s="122"/>
      <c r="M27" s="117"/>
      <c r="N27" s="114" t="str">
        <f t="shared" si="3"/>
        <v>-</v>
      </c>
      <c r="O27" s="114" t="str">
        <f t="shared" si="4"/>
        <v>-</v>
      </c>
    </row>
    <row r="28" spans="1:15" s="96" customFormat="1" ht="15" customHeight="1">
      <c r="A28" s="123"/>
      <c r="B28" s="118" t="s">
        <v>220</v>
      </c>
      <c r="C28" s="123"/>
      <c r="D28" s="120">
        <f>IF(AND(D14=ROUND((D22+D24+D26),1),D15=ROUND((D23+D25+D27),1)),"","Ошибка2")</f>
      </c>
      <c r="E28" s="120">
        <f aca="true" t="shared" si="5" ref="E28:K28">IF(AND(E14=ROUND((E22+E24+E26),1),E15=ROUND((E23+E25+E27),1)),"","Ошибка2")</f>
      </c>
      <c r="F28" s="120">
        <f t="shared" si="5"/>
      </c>
      <c r="G28" s="120">
        <f t="shared" si="5"/>
      </c>
      <c r="H28" s="120">
        <f t="shared" si="5"/>
      </c>
      <c r="I28" s="120"/>
      <c r="J28" s="117"/>
      <c r="K28" s="120">
        <f t="shared" si="5"/>
      </c>
      <c r="L28" s="120"/>
      <c r="M28" s="117"/>
      <c r="N28" s="114"/>
      <c r="O28" s="114" t="str">
        <f aca="true" t="shared" si="6" ref="O28:O33">IF(AND(G28&gt;0,L28&gt;0),L28/G28,"-")</f>
        <v>-</v>
      </c>
    </row>
    <row r="29" spans="1:15" ht="31.5">
      <c r="A29" s="124" t="s">
        <v>44</v>
      </c>
      <c r="B29" s="126" t="s">
        <v>161</v>
      </c>
      <c r="C29" s="124" t="s">
        <v>2</v>
      </c>
      <c r="D29" s="127"/>
      <c r="E29" s="127"/>
      <c r="F29" s="127"/>
      <c r="G29" s="127"/>
      <c r="H29" s="127"/>
      <c r="I29" s="127"/>
      <c r="J29" s="117"/>
      <c r="K29" s="122"/>
      <c r="L29" s="122"/>
      <c r="M29" s="117"/>
      <c r="N29" s="114" t="str">
        <f aca="true" t="shared" si="7" ref="N29:N60">IF(AND(F29&gt;0,K29&gt;0),K29/F29,"-")</f>
        <v>-</v>
      </c>
      <c r="O29" s="114" t="str">
        <f t="shared" si="6"/>
        <v>-</v>
      </c>
    </row>
    <row r="30" spans="1:15" ht="15.75">
      <c r="A30" s="128"/>
      <c r="B30" s="107" t="s">
        <v>62</v>
      </c>
      <c r="C30" s="10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14" t="str">
        <f t="shared" si="7"/>
        <v>-</v>
      </c>
      <c r="O30" s="114" t="str">
        <f t="shared" si="6"/>
        <v>-</v>
      </c>
    </row>
    <row r="31" spans="1:15" ht="15.75">
      <c r="A31" s="128"/>
      <c r="B31" s="130" t="s">
        <v>64</v>
      </c>
      <c r="C31" s="131" t="s">
        <v>222</v>
      </c>
      <c r="D31" s="132"/>
      <c r="E31" s="133"/>
      <c r="F31" s="133"/>
      <c r="G31" s="133"/>
      <c r="H31" s="133"/>
      <c r="I31" s="133"/>
      <c r="J31" s="134"/>
      <c r="K31" s="133"/>
      <c r="L31" s="133"/>
      <c r="M31" s="134"/>
      <c r="N31" s="114" t="str">
        <f t="shared" si="7"/>
        <v>-</v>
      </c>
      <c r="O31" s="114" t="str">
        <f t="shared" si="6"/>
        <v>-</v>
      </c>
    </row>
    <row r="32" spans="1:15" s="96" customFormat="1" ht="15" customHeight="1">
      <c r="A32" s="135" t="s">
        <v>41</v>
      </c>
      <c r="B32" s="136" t="s">
        <v>6</v>
      </c>
      <c r="C32" s="115" t="s">
        <v>5</v>
      </c>
      <c r="D32" s="137">
        <f aca="true" t="shared" si="8" ref="D32:I32">ROUND(D33,1)+ROUND(D95,1)+ROUND(D80,1)</f>
        <v>0</v>
      </c>
      <c r="E32" s="137">
        <f t="shared" si="8"/>
        <v>856.3</v>
      </c>
      <c r="F32" s="137">
        <f t="shared" si="8"/>
        <v>2801.6000000000004</v>
      </c>
      <c r="G32" s="137">
        <f t="shared" si="8"/>
        <v>2801.6000000000004</v>
      </c>
      <c r="H32" s="137">
        <f t="shared" si="8"/>
        <v>2894.6</v>
      </c>
      <c r="I32" s="137">
        <f t="shared" si="8"/>
        <v>4129.1</v>
      </c>
      <c r="J32" s="138" t="s">
        <v>104</v>
      </c>
      <c r="K32" s="137">
        <f>ROUND(K33,1)+ROUND(K95,1)+ROUND(K80,1)</f>
        <v>3590.5</v>
      </c>
      <c r="L32" s="137">
        <f>ROUND(L33,1)+ROUND(L95,1)+ROUND(L80,1)</f>
        <v>3778.4</v>
      </c>
      <c r="M32" s="138" t="s">
        <v>104</v>
      </c>
      <c r="N32" s="114">
        <f t="shared" si="7"/>
        <v>1.2815890919474584</v>
      </c>
      <c r="O32" s="114">
        <f t="shared" si="6"/>
        <v>1.348657909765848</v>
      </c>
    </row>
    <row r="33" spans="1:15" s="96" customFormat="1" ht="74.25" customHeight="1">
      <c r="A33" s="139" t="s">
        <v>66</v>
      </c>
      <c r="B33" s="140" t="s">
        <v>167</v>
      </c>
      <c r="C33" s="115" t="s">
        <v>5</v>
      </c>
      <c r="D33" s="116">
        <f aca="true" t="shared" si="9" ref="D33:I33">ROUND(D37,1)+ROUND(D54,1)+ROUND(D61,1)</f>
        <v>0</v>
      </c>
      <c r="E33" s="116">
        <f t="shared" si="9"/>
        <v>856.3</v>
      </c>
      <c r="F33" s="141">
        <f t="shared" si="9"/>
        <v>2123.2999999999997</v>
      </c>
      <c r="G33" s="141">
        <f t="shared" si="9"/>
        <v>2123.2999999999997</v>
      </c>
      <c r="H33" s="141">
        <f t="shared" si="9"/>
        <v>2186.2</v>
      </c>
      <c r="I33" s="141">
        <f t="shared" si="9"/>
        <v>2515.5</v>
      </c>
      <c r="J33" s="117" t="s">
        <v>104</v>
      </c>
      <c r="K33" s="116">
        <f>F33*K36*(1-K35)*(K15/F15)</f>
        <v>2190.353814</v>
      </c>
      <c r="L33" s="141">
        <f>ROUND(L37,1)+ROUND(L54,1)+ROUND(L61,1)</f>
        <v>2378.3</v>
      </c>
      <c r="M33" s="117" t="s">
        <v>218</v>
      </c>
      <c r="N33" s="114">
        <f t="shared" si="7"/>
        <v>1.0315800000000002</v>
      </c>
      <c r="O33" s="114">
        <f t="shared" si="6"/>
        <v>1.1200960768614894</v>
      </c>
    </row>
    <row r="34" spans="1:14" s="96" customFormat="1" ht="15" customHeight="1">
      <c r="A34" s="124"/>
      <c r="B34" s="142" t="s">
        <v>63</v>
      </c>
      <c r="C34" s="121"/>
      <c r="D34" s="122"/>
      <c r="E34" s="122"/>
      <c r="F34" s="122"/>
      <c r="G34" s="122"/>
      <c r="H34" s="122"/>
      <c r="I34" s="122"/>
      <c r="J34" s="117"/>
      <c r="K34" s="122"/>
      <c r="L34" s="122"/>
      <c r="M34" s="117"/>
      <c r="N34" s="114" t="str">
        <f t="shared" si="7"/>
        <v>-</v>
      </c>
    </row>
    <row r="35" spans="1:15" s="96" customFormat="1" ht="48" customHeight="1">
      <c r="A35" s="124"/>
      <c r="B35" s="143" t="s">
        <v>20</v>
      </c>
      <c r="C35" s="144" t="s">
        <v>2</v>
      </c>
      <c r="D35" s="122" t="s">
        <v>16</v>
      </c>
      <c r="E35" s="122" t="s">
        <v>16</v>
      </c>
      <c r="F35" s="145">
        <v>0.01</v>
      </c>
      <c r="G35" s="145">
        <v>0.01</v>
      </c>
      <c r="H35" s="145">
        <v>0.01</v>
      </c>
      <c r="I35" s="145">
        <v>0.01</v>
      </c>
      <c r="J35" s="117"/>
      <c r="K35" s="145">
        <v>0.01</v>
      </c>
      <c r="L35" s="145">
        <v>0.01</v>
      </c>
      <c r="M35" s="117" t="s">
        <v>219</v>
      </c>
      <c r="N35" s="114">
        <f t="shared" si="7"/>
        <v>1</v>
      </c>
      <c r="O35" s="114">
        <f aca="true" t="shared" si="10" ref="O35:O66">IF(AND(G35&gt;0,L35&gt;0),L35/G35,"-")</f>
        <v>1</v>
      </c>
    </row>
    <row r="36" spans="1:15" s="96" customFormat="1" ht="78" customHeight="1">
      <c r="A36" s="124"/>
      <c r="B36" s="143" t="s">
        <v>7</v>
      </c>
      <c r="C36" s="144" t="s">
        <v>2</v>
      </c>
      <c r="D36" s="145">
        <v>1.047</v>
      </c>
      <c r="E36" s="145">
        <v>1.037</v>
      </c>
      <c r="F36" s="145">
        <v>1.037</v>
      </c>
      <c r="G36" s="145">
        <v>1.026</v>
      </c>
      <c r="H36" s="145">
        <v>1.026</v>
      </c>
      <c r="I36" s="145">
        <v>1.026</v>
      </c>
      <c r="J36" s="117"/>
      <c r="K36" s="145">
        <v>1.042</v>
      </c>
      <c r="L36" s="145">
        <v>1.042</v>
      </c>
      <c r="M36" s="117" t="s">
        <v>217</v>
      </c>
      <c r="N36" s="114">
        <f t="shared" si="7"/>
        <v>1.0048216007714563</v>
      </c>
      <c r="O36" s="114">
        <f t="shared" si="10"/>
        <v>1.0155945419103314</v>
      </c>
    </row>
    <row r="37" spans="1:15" s="96" customFormat="1" ht="15" customHeight="1">
      <c r="A37" s="139" t="s">
        <v>69</v>
      </c>
      <c r="B37" s="140" t="s">
        <v>94</v>
      </c>
      <c r="C37" s="115" t="s">
        <v>5</v>
      </c>
      <c r="D37" s="116">
        <f aca="true" t="shared" si="11" ref="D37:J37">ROUND(D38,1)+ROUND(D42,1)+ROUND(D43,1)+ROUND(D52,1)+ROUND(D53,1)</f>
        <v>0</v>
      </c>
      <c r="E37" s="116">
        <f t="shared" si="11"/>
        <v>856.3</v>
      </c>
      <c r="F37" s="116">
        <f t="shared" si="11"/>
        <v>2073.4</v>
      </c>
      <c r="G37" s="116">
        <f t="shared" si="11"/>
        <v>2073.4</v>
      </c>
      <c r="H37" s="116">
        <f t="shared" si="11"/>
        <v>2134.7</v>
      </c>
      <c r="I37" s="116">
        <f t="shared" si="11"/>
        <v>2464</v>
      </c>
      <c r="J37" s="116">
        <f t="shared" si="11"/>
        <v>1061.2</v>
      </c>
      <c r="K37" s="146">
        <f>F37*$K$36*(1-$K$35)*($K$15/$F$15)</f>
        <v>2138.877972</v>
      </c>
      <c r="L37" s="116">
        <f>ROUND(L38,1)+ROUND(L42,1)+ROUND(L43,1)+ROUND(L52,1)+ROUND(L53,1)</f>
        <v>2326.7999999999997</v>
      </c>
      <c r="M37" s="147" t="s">
        <v>104</v>
      </c>
      <c r="N37" s="114">
        <f t="shared" si="7"/>
        <v>1.0315800000000002</v>
      </c>
      <c r="O37" s="114">
        <f t="shared" si="10"/>
        <v>1.1222147197839296</v>
      </c>
    </row>
    <row r="38" spans="1:15" ht="31.5">
      <c r="A38" s="135" t="s">
        <v>72</v>
      </c>
      <c r="B38" s="148" t="s">
        <v>186</v>
      </c>
      <c r="C38" s="135" t="s">
        <v>5</v>
      </c>
      <c r="D38" s="149">
        <f aca="true" t="shared" si="12" ref="D38:I38">SUM(D39:D41)</f>
        <v>0</v>
      </c>
      <c r="E38" s="149">
        <f t="shared" si="12"/>
        <v>0</v>
      </c>
      <c r="F38" s="150">
        <f t="shared" si="12"/>
        <v>408.08200000000005</v>
      </c>
      <c r="G38" s="150">
        <f t="shared" si="12"/>
        <v>408.08200000000005</v>
      </c>
      <c r="H38" s="150">
        <f t="shared" si="12"/>
        <v>420.96922956000003</v>
      </c>
      <c r="I38" s="150">
        <f t="shared" si="12"/>
        <v>420.96922956000003</v>
      </c>
      <c r="J38" s="117"/>
      <c r="K38" s="146">
        <f aca="true" t="shared" si="13" ref="K38:K44">F38*$K$36*(1-$K$35)*($K$15/$F$15)</f>
        <v>420.9692295600001</v>
      </c>
      <c r="L38" s="150">
        <f>SUM(L39:L41)</f>
        <v>420.96922956000003</v>
      </c>
      <c r="M38" s="151" t="s">
        <v>16</v>
      </c>
      <c r="N38" s="114">
        <f t="shared" si="7"/>
        <v>1.0315800000000002</v>
      </c>
      <c r="O38" s="114">
        <f t="shared" si="10"/>
        <v>1.03158</v>
      </c>
    </row>
    <row r="39" spans="1:15" s="96" customFormat="1" ht="15.75">
      <c r="A39" s="124"/>
      <c r="B39" s="152" t="s">
        <v>183</v>
      </c>
      <c r="C39" s="124" t="s">
        <v>5</v>
      </c>
      <c r="D39" s="127"/>
      <c r="E39" s="127"/>
      <c r="F39" s="153">
        <v>29.643</v>
      </c>
      <c r="G39" s="153">
        <f>F39</f>
        <v>29.643</v>
      </c>
      <c r="H39" s="146">
        <f aca="true" t="shared" si="14" ref="H39:I41">F39*$K$36*(1-$K$35)*($K$15/$F$15)</f>
        <v>30.57912594</v>
      </c>
      <c r="I39" s="146">
        <f t="shared" si="14"/>
        <v>30.57912594</v>
      </c>
      <c r="J39" s="117"/>
      <c r="K39" s="146">
        <f>F39*$K$36*(1-$K$35)*($K$15/$F$15)</f>
        <v>30.57912594</v>
      </c>
      <c r="L39" s="146">
        <f>G39*$K$36*(1-$K$35)*($K$15/$F$15)</f>
        <v>30.57912594</v>
      </c>
      <c r="M39" s="151" t="s">
        <v>16</v>
      </c>
      <c r="N39" s="114">
        <f t="shared" si="7"/>
        <v>1.03158</v>
      </c>
      <c r="O39" s="114">
        <f t="shared" si="10"/>
        <v>1.03158</v>
      </c>
    </row>
    <row r="40" spans="1:15" s="96" customFormat="1" ht="15.75">
      <c r="A40" s="124"/>
      <c r="B40" s="152" t="s">
        <v>184</v>
      </c>
      <c r="C40" s="124" t="s">
        <v>5</v>
      </c>
      <c r="D40" s="127"/>
      <c r="E40" s="127"/>
      <c r="F40" s="153">
        <v>374.047</v>
      </c>
      <c r="G40" s="153">
        <v>374.047</v>
      </c>
      <c r="H40" s="146">
        <f t="shared" si="14"/>
        <v>385.85940426</v>
      </c>
      <c r="I40" s="146">
        <f t="shared" si="14"/>
        <v>385.85940426</v>
      </c>
      <c r="J40" s="117"/>
      <c r="K40" s="146">
        <f t="shared" si="13"/>
        <v>385.85940426</v>
      </c>
      <c r="L40" s="146">
        <f>G40*$K$36*(1-$K$35)*($K$15/$F$15)</f>
        <v>385.85940426</v>
      </c>
      <c r="M40" s="151" t="s">
        <v>16</v>
      </c>
      <c r="N40" s="114">
        <f t="shared" si="7"/>
        <v>1.03158</v>
      </c>
      <c r="O40" s="114">
        <f t="shared" si="10"/>
        <v>1.03158</v>
      </c>
    </row>
    <row r="41" spans="1:15" s="96" customFormat="1" ht="15.75">
      <c r="A41" s="124"/>
      <c r="B41" s="152" t="s">
        <v>185</v>
      </c>
      <c r="C41" s="124" t="s">
        <v>5</v>
      </c>
      <c r="D41" s="127"/>
      <c r="E41" s="127"/>
      <c r="F41" s="153">
        <v>4.392</v>
      </c>
      <c r="G41" s="153">
        <v>4.392</v>
      </c>
      <c r="H41" s="146">
        <f t="shared" si="14"/>
        <v>4.530699360000001</v>
      </c>
      <c r="I41" s="146">
        <f t="shared" si="14"/>
        <v>4.530699360000001</v>
      </c>
      <c r="J41" s="117"/>
      <c r="K41" s="146">
        <f t="shared" si="13"/>
        <v>4.530699360000001</v>
      </c>
      <c r="L41" s="146">
        <f>G41*$K$36*(1-$K$35)*($K$15/$F$15)</f>
        <v>4.530699360000001</v>
      </c>
      <c r="M41" s="151" t="s">
        <v>16</v>
      </c>
      <c r="N41" s="114">
        <f t="shared" si="7"/>
        <v>1.0315800000000002</v>
      </c>
      <c r="O41" s="114">
        <f t="shared" si="10"/>
        <v>1.0315800000000002</v>
      </c>
    </row>
    <row r="42" spans="1:15" ht="92.25" customHeight="1">
      <c r="A42" s="124" t="s">
        <v>73</v>
      </c>
      <c r="B42" s="154" t="s">
        <v>170</v>
      </c>
      <c r="C42" s="106" t="s">
        <v>5</v>
      </c>
      <c r="D42" s="127"/>
      <c r="E42" s="127"/>
      <c r="F42" s="127">
        <v>0</v>
      </c>
      <c r="G42" s="127">
        <v>0</v>
      </c>
      <c r="H42" s="127">
        <v>0</v>
      </c>
      <c r="I42" s="127">
        <v>0</v>
      </c>
      <c r="J42" s="117"/>
      <c r="K42" s="146">
        <f t="shared" si="13"/>
        <v>0</v>
      </c>
      <c r="L42" s="146"/>
      <c r="M42" s="151" t="s">
        <v>16</v>
      </c>
      <c r="N42" s="114" t="str">
        <f t="shared" si="7"/>
        <v>-</v>
      </c>
      <c r="O42" s="114" t="str">
        <f t="shared" si="10"/>
        <v>-</v>
      </c>
    </row>
    <row r="43" spans="1:15" s="96" customFormat="1" ht="47.25">
      <c r="A43" s="135" t="s">
        <v>74</v>
      </c>
      <c r="B43" s="148" t="s">
        <v>76</v>
      </c>
      <c r="C43" s="115" t="s">
        <v>5</v>
      </c>
      <c r="D43" s="116">
        <f>ROUND(D44,1)+ROUND(D47,1)+ROUND(D48,1)+ROUND(D51,1)</f>
        <v>0</v>
      </c>
      <c r="E43" s="116">
        <f>ROUND(E44,1)+ROUND(E47,1)+ROUND(E48,1)+ROUND(E51,1)</f>
        <v>856.3</v>
      </c>
      <c r="F43" s="141">
        <f>ROUND(F44,1)+ROUND(F47,1)+ROUND(F48,1)+ROUND(F51,1)</f>
        <v>830</v>
      </c>
      <c r="G43" s="141">
        <f>ROUND(G44,1)+ROUND(G47,1)+ROUND(G48,1)+ROUND(G51,1)</f>
        <v>830</v>
      </c>
      <c r="H43" s="141">
        <f>ROUND(H44,1)+ROUND(H47,1)+ROUND(H48,1)+ROUND(H51,1)-4.298</f>
        <v>852.002</v>
      </c>
      <c r="I43" s="141">
        <f>J43</f>
        <v>1061.202</v>
      </c>
      <c r="J43" s="117">
        <f>107.6+101.6+H43</f>
        <v>1061.202</v>
      </c>
      <c r="K43" s="146">
        <f t="shared" si="13"/>
        <v>856.2114</v>
      </c>
      <c r="L43" s="141">
        <f>ROUND(L44,1)+ROUND(L47,1)+ROUND(L48,1)+ROUND(L51,1)</f>
        <v>1044.1</v>
      </c>
      <c r="M43" s="151">
        <f>676.8+204.4</f>
        <v>881.1999999999999</v>
      </c>
      <c r="N43" s="114">
        <f t="shared" si="7"/>
        <v>1.03158</v>
      </c>
      <c r="O43" s="114">
        <f t="shared" si="10"/>
        <v>1.2579518072289155</v>
      </c>
    </row>
    <row r="44" spans="1:15" ht="31.5">
      <c r="A44" s="124" t="s">
        <v>75</v>
      </c>
      <c r="B44" s="155" t="s">
        <v>33</v>
      </c>
      <c r="C44" s="106" t="s">
        <v>5</v>
      </c>
      <c r="D44" s="127"/>
      <c r="E44" s="127">
        <f>H44+H48+H47+H51</f>
        <v>856.2702079000082</v>
      </c>
      <c r="F44" s="153">
        <f>F45*F46*12/1000</f>
        <v>569.34</v>
      </c>
      <c r="G44" s="153">
        <f>G45*G46*12/1000</f>
        <v>569.34</v>
      </c>
      <c r="H44" s="153">
        <f>H45*H46*12/1000</f>
        <v>587.3197572000001</v>
      </c>
      <c r="I44" s="153">
        <f>I45*I46*12/1000</f>
        <v>676.8</v>
      </c>
      <c r="J44" s="117"/>
      <c r="K44" s="156">
        <f t="shared" si="13"/>
        <v>587.3197572</v>
      </c>
      <c r="L44" s="153">
        <f>L45*L46*12/1000</f>
        <v>676.8</v>
      </c>
      <c r="M44" s="151" t="s">
        <v>225</v>
      </c>
      <c r="N44" s="114">
        <f t="shared" si="7"/>
        <v>1.03158</v>
      </c>
      <c r="O44" s="114">
        <f t="shared" si="10"/>
        <v>1.1887448624723362</v>
      </c>
    </row>
    <row r="45" spans="1:15" ht="31.5">
      <c r="A45" s="124"/>
      <c r="B45" s="157" t="s">
        <v>34</v>
      </c>
      <c r="C45" s="106" t="s">
        <v>47</v>
      </c>
      <c r="D45" s="127"/>
      <c r="E45" s="127"/>
      <c r="F45" s="153">
        <v>9489</v>
      </c>
      <c r="G45" s="153">
        <v>9489</v>
      </c>
      <c r="H45" s="146">
        <f>F45*$K$36*(1-$K$35)*($K$15/$F$15)</f>
        <v>9788.662620000001</v>
      </c>
      <c r="I45" s="153">
        <v>11280</v>
      </c>
      <c r="J45" s="117"/>
      <c r="K45" s="146">
        <f>11280</f>
        <v>11280</v>
      </c>
      <c r="L45" s="146">
        <v>11280</v>
      </c>
      <c r="M45" s="151" t="s">
        <v>16</v>
      </c>
      <c r="N45" s="114">
        <f t="shared" si="7"/>
        <v>1.1887448624723365</v>
      </c>
      <c r="O45" s="114">
        <f t="shared" si="10"/>
        <v>1.1887448624723365</v>
      </c>
    </row>
    <row r="46" spans="1:15" ht="51" customHeight="1">
      <c r="A46" s="124"/>
      <c r="B46" s="157" t="s">
        <v>35</v>
      </c>
      <c r="C46" s="106" t="s">
        <v>48</v>
      </c>
      <c r="D46" s="127"/>
      <c r="E46" s="127"/>
      <c r="F46" s="153">
        <v>5</v>
      </c>
      <c r="G46" s="153">
        <v>5</v>
      </c>
      <c r="H46" s="153">
        <v>5</v>
      </c>
      <c r="I46" s="153">
        <v>5</v>
      </c>
      <c r="J46" s="117"/>
      <c r="K46" s="146">
        <v>5</v>
      </c>
      <c r="L46" s="146">
        <v>5</v>
      </c>
      <c r="M46" s="151">
        <v>5.5</v>
      </c>
      <c r="N46" s="114">
        <f t="shared" si="7"/>
        <v>1</v>
      </c>
      <c r="O46" s="114">
        <f t="shared" si="10"/>
        <v>1</v>
      </c>
    </row>
    <row r="47" spans="1:15" ht="31.5">
      <c r="A47" s="124" t="s">
        <v>77</v>
      </c>
      <c r="B47" s="152" t="s">
        <v>36</v>
      </c>
      <c r="C47" s="106" t="s">
        <v>5</v>
      </c>
      <c r="D47" s="127"/>
      <c r="E47" s="127"/>
      <c r="F47" s="153">
        <f>F44*20.3%</f>
        <v>115.57602000000001</v>
      </c>
      <c r="G47" s="153">
        <f>G44*20.3%</f>
        <v>115.57602000000001</v>
      </c>
      <c r="H47" s="146">
        <f>F47*$K$36*(1-$K$35)*($K$15/$F$15)</f>
        <v>119.22591071160002</v>
      </c>
      <c r="I47" s="153">
        <f>I44*30.2%</f>
        <v>204.3936</v>
      </c>
      <c r="J47" s="117"/>
      <c r="K47" s="146">
        <f>F47*$K$36*(1-$K$35)*($K$15/$F$15)</f>
        <v>119.22591071160002</v>
      </c>
      <c r="L47" s="146">
        <f>L44*30.3%</f>
        <v>205.07039999999998</v>
      </c>
      <c r="M47" s="151">
        <f>676.8*30.2%</f>
        <v>204.3936</v>
      </c>
      <c r="N47" s="114">
        <f t="shared" si="7"/>
        <v>1.0315800000000002</v>
      </c>
      <c r="O47" s="114">
        <f t="shared" si="10"/>
        <v>1.7743334646754574</v>
      </c>
    </row>
    <row r="48" spans="1:15" ht="15.75">
      <c r="A48" s="124" t="s">
        <v>78</v>
      </c>
      <c r="B48" s="152" t="s">
        <v>37</v>
      </c>
      <c r="C48" s="106" t="s">
        <v>5</v>
      </c>
      <c r="D48" s="127"/>
      <c r="E48" s="127"/>
      <c r="F48" s="127">
        <f>F49*F50*12/1000</f>
        <v>120.64920000000001</v>
      </c>
      <c r="G48" s="127">
        <f>G49*G50*12/1000</f>
        <v>120.62208</v>
      </c>
      <c r="H48" s="127">
        <f>H49*H50*12/1000</f>
        <v>124.45930173600003</v>
      </c>
      <c r="I48" s="127">
        <f>I49*I50*12/1000</f>
        <v>120.64920000000001</v>
      </c>
      <c r="J48" s="117"/>
      <c r="K48" s="146">
        <f>F48*$K$36*(1-$K$35)*($K$15/$F$15)</f>
        <v>124.45930173600001</v>
      </c>
      <c r="L48" s="127">
        <f>L49*L50*12/1000</f>
        <v>124.45920000000001</v>
      </c>
      <c r="M48" s="151" t="s">
        <v>16</v>
      </c>
      <c r="N48" s="114">
        <f t="shared" si="7"/>
        <v>1.0315800000000002</v>
      </c>
      <c r="O48" s="114">
        <f t="shared" si="10"/>
        <v>1.031811091302687</v>
      </c>
    </row>
    <row r="49" spans="1:15" ht="31.5">
      <c r="A49" s="124"/>
      <c r="B49" s="157" t="s">
        <v>38</v>
      </c>
      <c r="C49" s="106" t="s">
        <v>47</v>
      </c>
      <c r="D49" s="127"/>
      <c r="E49" s="127"/>
      <c r="F49" s="127">
        <v>20108.2</v>
      </c>
      <c r="G49" s="127">
        <v>20103.68</v>
      </c>
      <c r="H49" s="146">
        <f>F49*$K$36*(1-$K$35)*($K$15/$F$15)</f>
        <v>20743.216956000004</v>
      </c>
      <c r="I49" s="127">
        <v>20108.2</v>
      </c>
      <c r="J49" s="117"/>
      <c r="K49" s="146"/>
      <c r="L49" s="146">
        <v>20743.2</v>
      </c>
      <c r="M49" s="151" t="s">
        <v>16</v>
      </c>
      <c r="N49" s="114" t="str">
        <f t="shared" si="7"/>
        <v>-</v>
      </c>
      <c r="O49" s="114">
        <f t="shared" si="10"/>
        <v>1.031811091302687</v>
      </c>
    </row>
    <row r="50" spans="1:15" ht="31.5">
      <c r="A50" s="124"/>
      <c r="B50" s="157" t="s">
        <v>39</v>
      </c>
      <c r="C50" s="106" t="s">
        <v>48</v>
      </c>
      <c r="D50" s="127"/>
      <c r="E50" s="127"/>
      <c r="F50" s="127">
        <v>0.5</v>
      </c>
      <c r="G50" s="127">
        <v>0.5</v>
      </c>
      <c r="H50" s="127">
        <v>0.5</v>
      </c>
      <c r="I50" s="127">
        <v>0.5</v>
      </c>
      <c r="J50" s="117"/>
      <c r="K50" s="146"/>
      <c r="L50" s="146">
        <v>0.5</v>
      </c>
      <c r="M50" s="151" t="s">
        <v>16</v>
      </c>
      <c r="N50" s="114" t="str">
        <f t="shared" si="7"/>
        <v>-</v>
      </c>
      <c r="O50" s="114">
        <f t="shared" si="10"/>
        <v>1</v>
      </c>
    </row>
    <row r="51" spans="1:15" ht="31.5">
      <c r="A51" s="124" t="s">
        <v>79</v>
      </c>
      <c r="B51" s="152" t="s">
        <v>40</v>
      </c>
      <c r="C51" s="106" t="s">
        <v>5</v>
      </c>
      <c r="D51" s="127"/>
      <c r="E51" s="127"/>
      <c r="F51" s="127">
        <f>F48*20.3%</f>
        <v>24.491787600000002</v>
      </c>
      <c r="G51" s="127">
        <f>G48*20.3%</f>
        <v>24.48628224</v>
      </c>
      <c r="H51" s="146">
        <f>F51*$K$36*(1-$K$35)*($K$15/$F$15)</f>
        <v>25.265238252408</v>
      </c>
      <c r="I51" s="127">
        <f>I48*20.3%</f>
        <v>24.491787600000002</v>
      </c>
      <c r="J51" s="117"/>
      <c r="K51" s="146">
        <f aca="true" t="shared" si="15" ref="K51:K58">F51*$K$36*(1-$K$35)*($K$15/$F$15)</f>
        <v>25.265238252408</v>
      </c>
      <c r="L51" s="146">
        <f>L48*30.3%</f>
        <v>37.7111376</v>
      </c>
      <c r="M51" s="151" t="s">
        <v>16</v>
      </c>
      <c r="N51" s="114">
        <f t="shared" si="7"/>
        <v>1.03158</v>
      </c>
      <c r="O51" s="114">
        <f t="shared" si="10"/>
        <v>1.5400924170675572</v>
      </c>
    </row>
    <row r="52" spans="1:15" ht="15" customHeight="1">
      <c r="A52" s="124" t="s">
        <v>80</v>
      </c>
      <c r="B52" s="154" t="s">
        <v>82</v>
      </c>
      <c r="C52" s="124" t="s">
        <v>5</v>
      </c>
      <c r="D52" s="127"/>
      <c r="E52" s="127"/>
      <c r="F52" s="150">
        <v>608.36</v>
      </c>
      <c r="G52" s="150">
        <f>F52</f>
        <v>608.36</v>
      </c>
      <c r="H52" s="146">
        <f>F52*$K$36*(1-$K$35)*($K$15/$F$15)</f>
        <v>627.5720087999999</v>
      </c>
      <c r="I52" s="158">
        <f>G52*$K$36*(1-$K$35)*($K$15/$F$15)+120.1</f>
        <v>747.6720088</v>
      </c>
      <c r="J52" s="117"/>
      <c r="K52" s="146">
        <f t="shared" si="15"/>
        <v>627.5720087999999</v>
      </c>
      <c r="L52" s="146">
        <f>G52*$K$36*(1-$K$35)*($K$15/$F$15)</f>
        <v>627.5720087999999</v>
      </c>
      <c r="M52" s="151" t="s">
        <v>16</v>
      </c>
      <c r="N52" s="114">
        <f t="shared" si="7"/>
        <v>1.03158</v>
      </c>
      <c r="O52" s="114">
        <f t="shared" si="10"/>
        <v>1.03158</v>
      </c>
    </row>
    <row r="53" spans="1:15" s="96" customFormat="1" ht="78.75">
      <c r="A53" s="124" t="s">
        <v>81</v>
      </c>
      <c r="B53" s="154" t="s">
        <v>211</v>
      </c>
      <c r="C53" s="121" t="s">
        <v>5</v>
      </c>
      <c r="D53" s="122"/>
      <c r="E53" s="122"/>
      <c r="F53" s="159">
        <f>46.512+135.39+45</f>
        <v>226.902</v>
      </c>
      <c r="G53" s="159">
        <f>F53</f>
        <v>226.902</v>
      </c>
      <c r="H53" s="146">
        <f>F53*$K$36*(1-$K$35)*($K$15/$F$15)</f>
        <v>234.06756516</v>
      </c>
      <c r="I53" s="146">
        <f>G53*$K$36*(1-$K$35)*($K$15/$F$15)</f>
        <v>234.06756516</v>
      </c>
      <c r="J53" s="117"/>
      <c r="K53" s="146">
        <f t="shared" si="15"/>
        <v>234.06756516</v>
      </c>
      <c r="L53" s="146">
        <f>G53*$K$36*(1-$K$35)*($K$15/$F$15)</f>
        <v>234.06756516</v>
      </c>
      <c r="M53" s="151" t="s">
        <v>16</v>
      </c>
      <c r="N53" s="114">
        <f t="shared" si="7"/>
        <v>1.03158</v>
      </c>
      <c r="O53" s="114">
        <f t="shared" si="10"/>
        <v>1.03158</v>
      </c>
    </row>
    <row r="54" spans="1:15" s="96" customFormat="1" ht="15" customHeight="1">
      <c r="A54" s="160" t="s">
        <v>70</v>
      </c>
      <c r="B54" s="140" t="s">
        <v>187</v>
      </c>
      <c r="C54" s="115" t="s">
        <v>5</v>
      </c>
      <c r="D54" s="116">
        <f aca="true" t="shared" si="16" ref="D54:I54">ROUND(D55,1)+ROUND(D56,1)+ROUND(D57,1)+ROUND(D60,1)</f>
        <v>0</v>
      </c>
      <c r="E54" s="116">
        <f t="shared" si="16"/>
        <v>0</v>
      </c>
      <c r="F54" s="161">
        <f t="shared" si="16"/>
        <v>27.2</v>
      </c>
      <c r="G54" s="161">
        <f t="shared" si="16"/>
        <v>27.2</v>
      </c>
      <c r="H54" s="161">
        <f t="shared" si="16"/>
        <v>28.1</v>
      </c>
      <c r="I54" s="161">
        <f t="shared" si="16"/>
        <v>28.1</v>
      </c>
      <c r="J54" s="117"/>
      <c r="K54" s="146">
        <f t="shared" si="15"/>
        <v>28.058976</v>
      </c>
      <c r="L54" s="161">
        <f>ROUND(L55,1)+ROUND(L56,1)+ROUND(L57,1)+ROUND(L60,1)</f>
        <v>28.1</v>
      </c>
      <c r="M54" s="151" t="s">
        <v>16</v>
      </c>
      <c r="N54" s="114">
        <f t="shared" si="7"/>
        <v>1.0315800000000002</v>
      </c>
      <c r="O54" s="114">
        <f t="shared" si="10"/>
        <v>1.0330882352941178</v>
      </c>
    </row>
    <row r="55" spans="1:15" s="96" customFormat="1" ht="50.25" customHeight="1">
      <c r="A55" s="124" t="s">
        <v>85</v>
      </c>
      <c r="B55" s="154" t="s">
        <v>171</v>
      </c>
      <c r="C55" s="124" t="s">
        <v>5</v>
      </c>
      <c r="D55" s="127"/>
      <c r="E55" s="127"/>
      <c r="F55" s="150">
        <v>27.249</v>
      </c>
      <c r="G55" s="150">
        <f>F55</f>
        <v>27.249</v>
      </c>
      <c r="H55" s="146">
        <f>F55*$K$36*(1-$K$35)*($K$15/$F$15)</f>
        <v>28.10952342</v>
      </c>
      <c r="I55" s="146">
        <f>G55*$K$36*(1-$K$35)*($K$15/$F$15)</f>
        <v>28.10952342</v>
      </c>
      <c r="J55" s="117"/>
      <c r="K55" s="146">
        <f t="shared" si="15"/>
        <v>28.10952342</v>
      </c>
      <c r="L55" s="146">
        <f>G55*$K$36*(1-$K$35)*($K$15/$F$15)</f>
        <v>28.10952342</v>
      </c>
      <c r="M55" s="151" t="s">
        <v>16</v>
      </c>
      <c r="N55" s="114">
        <f t="shared" si="7"/>
        <v>1.03158</v>
      </c>
      <c r="O55" s="114">
        <f t="shared" si="10"/>
        <v>1.03158</v>
      </c>
    </row>
    <row r="56" spans="1:15" s="96" customFormat="1" ht="47.25" customHeight="1">
      <c r="A56" s="124" t="s">
        <v>86</v>
      </c>
      <c r="B56" s="154" t="s">
        <v>172</v>
      </c>
      <c r="C56" s="124" t="s">
        <v>5</v>
      </c>
      <c r="D56" s="127"/>
      <c r="E56" s="127"/>
      <c r="F56" s="127"/>
      <c r="G56" s="127"/>
      <c r="H56" s="127"/>
      <c r="I56" s="127"/>
      <c r="J56" s="117"/>
      <c r="K56" s="146">
        <f t="shared" si="15"/>
        <v>0</v>
      </c>
      <c r="L56" s="146"/>
      <c r="M56" s="151" t="s">
        <v>16</v>
      </c>
      <c r="N56" s="114" t="str">
        <f t="shared" si="7"/>
        <v>-</v>
      </c>
      <c r="O56" s="114" t="str">
        <f t="shared" si="10"/>
        <v>-</v>
      </c>
    </row>
    <row r="57" spans="1:15" s="96" customFormat="1" ht="32.25" customHeight="1">
      <c r="A57" s="124" t="s">
        <v>87</v>
      </c>
      <c r="B57" s="154" t="s">
        <v>83</v>
      </c>
      <c r="C57" s="124" t="s">
        <v>5</v>
      </c>
      <c r="D57" s="127"/>
      <c r="E57" s="127"/>
      <c r="F57" s="127"/>
      <c r="G57" s="127"/>
      <c r="H57" s="127"/>
      <c r="I57" s="127"/>
      <c r="J57" s="117"/>
      <c r="K57" s="146">
        <f t="shared" si="15"/>
        <v>0</v>
      </c>
      <c r="L57" s="146"/>
      <c r="M57" s="151" t="s">
        <v>16</v>
      </c>
      <c r="N57" s="114" t="str">
        <f t="shared" si="7"/>
        <v>-</v>
      </c>
      <c r="O57" s="114" t="str">
        <f t="shared" si="10"/>
        <v>-</v>
      </c>
    </row>
    <row r="58" spans="1:15" s="96" customFormat="1" ht="33.75" customHeight="1">
      <c r="A58" s="124"/>
      <c r="B58" s="152" t="s">
        <v>89</v>
      </c>
      <c r="C58" s="106" t="s">
        <v>47</v>
      </c>
      <c r="D58" s="127"/>
      <c r="E58" s="127"/>
      <c r="F58" s="127"/>
      <c r="G58" s="127"/>
      <c r="H58" s="127"/>
      <c r="I58" s="127"/>
      <c r="J58" s="117"/>
      <c r="K58" s="146">
        <f t="shared" si="15"/>
        <v>0</v>
      </c>
      <c r="L58" s="146"/>
      <c r="M58" s="151" t="s">
        <v>16</v>
      </c>
      <c r="N58" s="114" t="str">
        <f t="shared" si="7"/>
        <v>-</v>
      </c>
      <c r="O58" s="114" t="str">
        <f t="shared" si="10"/>
        <v>-</v>
      </c>
    </row>
    <row r="59" spans="1:15" s="96" customFormat="1" ht="39.75" customHeight="1">
      <c r="A59" s="124"/>
      <c r="B59" s="152" t="s">
        <v>90</v>
      </c>
      <c r="C59" s="124" t="s">
        <v>48</v>
      </c>
      <c r="D59" s="127"/>
      <c r="E59" s="127"/>
      <c r="F59" s="127"/>
      <c r="G59" s="127"/>
      <c r="H59" s="127"/>
      <c r="I59" s="127"/>
      <c r="J59" s="117"/>
      <c r="K59" s="146"/>
      <c r="L59" s="146"/>
      <c r="M59" s="151" t="s">
        <v>16</v>
      </c>
      <c r="N59" s="114" t="str">
        <f t="shared" si="7"/>
        <v>-</v>
      </c>
      <c r="O59" s="114" t="str">
        <f t="shared" si="10"/>
        <v>-</v>
      </c>
    </row>
    <row r="60" spans="1:15" s="96" customFormat="1" ht="31.5">
      <c r="A60" s="124" t="s">
        <v>88</v>
      </c>
      <c r="B60" s="154" t="s">
        <v>84</v>
      </c>
      <c r="C60" s="124" t="s">
        <v>5</v>
      </c>
      <c r="D60" s="127"/>
      <c r="E60" s="127"/>
      <c r="F60" s="127"/>
      <c r="G60" s="127"/>
      <c r="H60" s="127"/>
      <c r="I60" s="127"/>
      <c r="J60" s="117"/>
      <c r="K60" s="146">
        <f>F60*$K$36*(1-$K$35)*($K$15/$F$15)</f>
        <v>0</v>
      </c>
      <c r="L60" s="146"/>
      <c r="M60" s="151" t="s">
        <v>16</v>
      </c>
      <c r="N60" s="114" t="str">
        <f t="shared" si="7"/>
        <v>-</v>
      </c>
      <c r="O60" s="114" t="str">
        <f t="shared" si="10"/>
        <v>-</v>
      </c>
    </row>
    <row r="61" spans="1:15" s="96" customFormat="1" ht="15" customHeight="1">
      <c r="A61" s="135" t="s">
        <v>71</v>
      </c>
      <c r="B61" s="140" t="s">
        <v>148</v>
      </c>
      <c r="C61" s="115" t="s">
        <v>5</v>
      </c>
      <c r="D61" s="116">
        <f aca="true" t="shared" si="17" ref="D61:I61">ROUND(D62,1)+ROUND(D65,1)+ROUND(D66,1)+ROUND(D74,1)+ROUND(D75,1)+ROUND(D76,1)+ROUND(D77,1)+ROUND(D78,1)+ROUND(D79,1)</f>
        <v>0</v>
      </c>
      <c r="E61" s="116">
        <f t="shared" si="17"/>
        <v>0</v>
      </c>
      <c r="F61" s="116">
        <f t="shared" si="17"/>
        <v>22.700000000000003</v>
      </c>
      <c r="G61" s="116">
        <f t="shared" si="17"/>
        <v>22.700000000000003</v>
      </c>
      <c r="H61" s="116">
        <f t="shared" si="17"/>
        <v>23.4</v>
      </c>
      <c r="I61" s="116">
        <f t="shared" si="17"/>
        <v>23.4</v>
      </c>
      <c r="J61" s="117"/>
      <c r="K61" s="146">
        <f>F61*$K$36*(1-$K$35)*($K$15/$F$15)</f>
        <v>23.416866000000006</v>
      </c>
      <c r="L61" s="116">
        <f>ROUND(L62,1)+ROUND(L65,1)+ROUND(L66,1)+ROUND(L74,1)+ROUND(L75,1)+ROUND(L76,1)+ROUND(L77,1)+ROUND(L78,1)+ROUND(L79,1)</f>
        <v>23.4</v>
      </c>
      <c r="M61" s="151" t="s">
        <v>16</v>
      </c>
      <c r="N61" s="114">
        <f aca="true" t="shared" si="18" ref="N61:N92">IF(AND(F61&gt;0,K61&gt;0),K61/F61,"-")</f>
        <v>1.0315800000000002</v>
      </c>
      <c r="O61" s="114">
        <f t="shared" si="10"/>
        <v>1.0308370044052861</v>
      </c>
    </row>
    <row r="62" spans="1:15" s="96" customFormat="1" ht="31.5">
      <c r="A62" s="124" t="s">
        <v>91</v>
      </c>
      <c r="B62" s="154" t="s">
        <v>49</v>
      </c>
      <c r="C62" s="124" t="s">
        <v>5</v>
      </c>
      <c r="D62" s="127"/>
      <c r="E62" s="127"/>
      <c r="F62" s="127"/>
      <c r="G62" s="127"/>
      <c r="H62" s="127"/>
      <c r="I62" s="127"/>
      <c r="J62" s="117"/>
      <c r="K62" s="146">
        <f>F62*$K$36*(1-$K$35)*($K$15/$F$15)</f>
        <v>0</v>
      </c>
      <c r="L62" s="146"/>
      <c r="M62" s="151" t="s">
        <v>16</v>
      </c>
      <c r="N62" s="114" t="str">
        <f t="shared" si="18"/>
        <v>-</v>
      </c>
      <c r="O62" s="114" t="str">
        <f t="shared" si="10"/>
        <v>-</v>
      </c>
    </row>
    <row r="63" spans="1:15" s="96" customFormat="1" ht="31.5">
      <c r="A63" s="124"/>
      <c r="B63" s="152" t="s">
        <v>50</v>
      </c>
      <c r="C63" s="106" t="s">
        <v>47</v>
      </c>
      <c r="D63" s="127"/>
      <c r="E63" s="127"/>
      <c r="F63" s="127"/>
      <c r="G63" s="127"/>
      <c r="H63" s="127"/>
      <c r="I63" s="127"/>
      <c r="J63" s="117"/>
      <c r="K63" s="146">
        <f>F63*$K$36*(1-$K$35)*($K$15/$F$15)</f>
        <v>0</v>
      </c>
      <c r="L63" s="146"/>
      <c r="M63" s="151" t="s">
        <v>16</v>
      </c>
      <c r="N63" s="114" t="str">
        <f t="shared" si="18"/>
        <v>-</v>
      </c>
      <c r="O63" s="114" t="str">
        <f t="shared" si="10"/>
        <v>-</v>
      </c>
    </row>
    <row r="64" spans="1:15" s="96" customFormat="1" ht="45.75" customHeight="1">
      <c r="A64" s="124"/>
      <c r="B64" s="152" t="s">
        <v>51</v>
      </c>
      <c r="C64" s="124" t="s">
        <v>48</v>
      </c>
      <c r="D64" s="127"/>
      <c r="E64" s="127"/>
      <c r="F64" s="127"/>
      <c r="G64" s="127"/>
      <c r="H64" s="127"/>
      <c r="I64" s="127"/>
      <c r="J64" s="117"/>
      <c r="K64" s="146"/>
      <c r="L64" s="146"/>
      <c r="M64" s="151" t="s">
        <v>16</v>
      </c>
      <c r="N64" s="114" t="str">
        <f t="shared" si="18"/>
        <v>-</v>
      </c>
      <c r="O64" s="114" t="str">
        <f t="shared" si="10"/>
        <v>-</v>
      </c>
    </row>
    <row r="65" spans="1:15" s="96" customFormat="1" ht="31.5">
      <c r="A65" s="124" t="s">
        <v>92</v>
      </c>
      <c r="B65" s="154" t="s">
        <v>52</v>
      </c>
      <c r="C65" s="124" t="s">
        <v>5</v>
      </c>
      <c r="D65" s="127"/>
      <c r="E65" s="127"/>
      <c r="F65" s="127"/>
      <c r="G65" s="127"/>
      <c r="H65" s="127"/>
      <c r="I65" s="127"/>
      <c r="J65" s="117"/>
      <c r="K65" s="146">
        <f aca="true" t="shared" si="19" ref="K65:K79">F65*$K$36*(1-$K$35)*($K$15/$F$15)</f>
        <v>0</v>
      </c>
      <c r="L65" s="146"/>
      <c r="M65" s="151" t="s">
        <v>16</v>
      </c>
      <c r="N65" s="114" t="str">
        <f t="shared" si="18"/>
        <v>-</v>
      </c>
      <c r="O65" s="114" t="str">
        <f t="shared" si="10"/>
        <v>-</v>
      </c>
    </row>
    <row r="66" spans="1:15" s="96" customFormat="1" ht="63">
      <c r="A66" s="135" t="s">
        <v>93</v>
      </c>
      <c r="B66" s="148" t="s">
        <v>174</v>
      </c>
      <c r="C66" s="135" t="s">
        <v>5</v>
      </c>
      <c r="D66" s="116">
        <f>SUM(D67:D73)</f>
        <v>0</v>
      </c>
      <c r="E66" s="116">
        <f>SUM(E67:E73)</f>
        <v>0</v>
      </c>
      <c r="F66" s="161">
        <f>SUM(F67:F73)</f>
        <v>16.797</v>
      </c>
      <c r="G66" s="161">
        <f>SUM(G67:G73)</f>
        <v>16.797</v>
      </c>
      <c r="H66" s="161">
        <f>SUM(H67:H73)</f>
        <v>17.32744926</v>
      </c>
      <c r="I66" s="161">
        <f>I67+I68</f>
        <v>17.32744926</v>
      </c>
      <c r="J66" s="117"/>
      <c r="K66" s="146">
        <f t="shared" si="19"/>
        <v>17.32744926</v>
      </c>
      <c r="L66" s="146">
        <f>G66*$K$36*(1-$K$35)*($K$15/$F$15)</f>
        <v>17.32744926</v>
      </c>
      <c r="M66" s="151" t="s">
        <v>16</v>
      </c>
      <c r="N66" s="114">
        <f t="shared" si="18"/>
        <v>1.0315800000000002</v>
      </c>
      <c r="O66" s="114">
        <f t="shared" si="10"/>
        <v>1.0315800000000002</v>
      </c>
    </row>
    <row r="67" spans="1:15" s="96" customFormat="1" ht="15.75">
      <c r="A67" s="124"/>
      <c r="B67" s="157" t="s">
        <v>21</v>
      </c>
      <c r="C67" s="124" t="s">
        <v>5</v>
      </c>
      <c r="D67" s="127"/>
      <c r="E67" s="127"/>
      <c r="F67" s="150">
        <v>1.8</v>
      </c>
      <c r="G67" s="150">
        <v>1.8</v>
      </c>
      <c r="H67" s="146">
        <f>F67*$K$36*(1-$K$35)*($K$15/$F$15)</f>
        <v>1.8568440000000002</v>
      </c>
      <c r="I67" s="146">
        <f>G67*$K$36*(1-$K$35)*($K$15/$F$15)</f>
        <v>1.8568440000000002</v>
      </c>
      <c r="J67" s="117"/>
      <c r="K67" s="146">
        <f t="shared" si="19"/>
        <v>1.8568440000000002</v>
      </c>
      <c r="L67" s="146">
        <f>G67*$K$36*(1-$K$35)*($K$15/$F$15)</f>
        <v>1.8568440000000002</v>
      </c>
      <c r="M67" s="151" t="s">
        <v>16</v>
      </c>
      <c r="N67" s="114">
        <f t="shared" si="18"/>
        <v>1.0315800000000002</v>
      </c>
      <c r="O67" s="114">
        <f aca="true" t="shared" si="20" ref="O67:O98">IF(AND(G67&gt;0,L67&gt;0),L67/G67,"-")</f>
        <v>1.0315800000000002</v>
      </c>
    </row>
    <row r="68" spans="1:15" s="96" customFormat="1" ht="15.75">
      <c r="A68" s="124"/>
      <c r="B68" s="157" t="s">
        <v>22</v>
      </c>
      <c r="C68" s="124" t="s">
        <v>5</v>
      </c>
      <c r="D68" s="127"/>
      <c r="E68" s="127"/>
      <c r="F68" s="150">
        <v>14.997</v>
      </c>
      <c r="G68" s="150">
        <v>14.997</v>
      </c>
      <c r="H68" s="162">
        <f>F68*$K$36*(1-$K$35)*($K$15/$F$15)</f>
        <v>15.470605260000001</v>
      </c>
      <c r="I68" s="162">
        <f>G68*$K$36*(1-$K$35)*($K$15/$F$15)</f>
        <v>15.470605260000001</v>
      </c>
      <c r="J68" s="117"/>
      <c r="K68" s="146">
        <f t="shared" si="19"/>
        <v>15.470605260000001</v>
      </c>
      <c r="L68" s="146">
        <f>G68*$K$36*(1-$K$35)*($K$15/$F$15)</f>
        <v>15.470605260000001</v>
      </c>
      <c r="M68" s="151" t="s">
        <v>16</v>
      </c>
      <c r="N68" s="114">
        <f t="shared" si="18"/>
        <v>1.0315800000000002</v>
      </c>
      <c r="O68" s="114">
        <f t="shared" si="20"/>
        <v>1.0315800000000002</v>
      </c>
    </row>
    <row r="69" spans="1:15" s="96" customFormat="1" ht="15.75">
      <c r="A69" s="124"/>
      <c r="B69" s="157" t="s">
        <v>23</v>
      </c>
      <c r="C69" s="124" t="s">
        <v>5</v>
      </c>
      <c r="D69" s="127"/>
      <c r="E69" s="127"/>
      <c r="F69" s="127"/>
      <c r="G69" s="127"/>
      <c r="H69" s="127"/>
      <c r="I69" s="127"/>
      <c r="J69" s="117"/>
      <c r="K69" s="146">
        <f t="shared" si="19"/>
        <v>0</v>
      </c>
      <c r="L69" s="146"/>
      <c r="M69" s="151" t="s">
        <v>16</v>
      </c>
      <c r="N69" s="114" t="str">
        <f t="shared" si="18"/>
        <v>-</v>
      </c>
      <c r="O69" s="114" t="str">
        <f t="shared" si="20"/>
        <v>-</v>
      </c>
    </row>
    <row r="70" spans="1:15" s="96" customFormat="1" ht="15.75">
      <c r="A70" s="124"/>
      <c r="B70" s="157" t="s">
        <v>24</v>
      </c>
      <c r="C70" s="124" t="s">
        <v>5</v>
      </c>
      <c r="D70" s="127"/>
      <c r="E70" s="127"/>
      <c r="F70" s="127"/>
      <c r="G70" s="127"/>
      <c r="H70" s="127"/>
      <c r="I70" s="127"/>
      <c r="J70" s="117"/>
      <c r="K70" s="146">
        <f t="shared" si="19"/>
        <v>0</v>
      </c>
      <c r="L70" s="146"/>
      <c r="M70" s="151" t="s">
        <v>16</v>
      </c>
      <c r="N70" s="114" t="str">
        <f t="shared" si="18"/>
        <v>-</v>
      </c>
      <c r="O70" s="114" t="str">
        <f t="shared" si="20"/>
        <v>-</v>
      </c>
    </row>
    <row r="71" spans="1:15" s="96" customFormat="1" ht="15.75">
      <c r="A71" s="124"/>
      <c r="B71" s="157" t="s">
        <v>175</v>
      </c>
      <c r="C71" s="124" t="s">
        <v>5</v>
      </c>
      <c r="D71" s="127"/>
      <c r="E71" s="127"/>
      <c r="F71" s="127"/>
      <c r="G71" s="127"/>
      <c r="H71" s="127"/>
      <c r="I71" s="127"/>
      <c r="J71" s="117"/>
      <c r="K71" s="146">
        <f t="shared" si="19"/>
        <v>0</v>
      </c>
      <c r="L71" s="146"/>
      <c r="M71" s="151" t="s">
        <v>16</v>
      </c>
      <c r="N71" s="114" t="str">
        <f t="shared" si="18"/>
        <v>-</v>
      </c>
      <c r="O71" s="114" t="str">
        <f t="shared" si="20"/>
        <v>-</v>
      </c>
    </row>
    <row r="72" spans="1:15" s="96" customFormat="1" ht="15.75">
      <c r="A72" s="124"/>
      <c r="B72" s="157" t="s">
        <v>25</v>
      </c>
      <c r="C72" s="124" t="s">
        <v>5</v>
      </c>
      <c r="D72" s="127"/>
      <c r="E72" s="127"/>
      <c r="F72" s="127"/>
      <c r="G72" s="127"/>
      <c r="H72" s="127"/>
      <c r="I72" s="127"/>
      <c r="J72" s="117"/>
      <c r="K72" s="146">
        <f t="shared" si="19"/>
        <v>0</v>
      </c>
      <c r="L72" s="146"/>
      <c r="M72" s="151" t="s">
        <v>16</v>
      </c>
      <c r="N72" s="114" t="str">
        <f t="shared" si="18"/>
        <v>-</v>
      </c>
      <c r="O72" s="114" t="str">
        <f t="shared" si="20"/>
        <v>-</v>
      </c>
    </row>
    <row r="73" spans="1:15" s="96" customFormat="1" ht="15.75">
      <c r="A73" s="124"/>
      <c r="B73" s="157" t="s">
        <v>176</v>
      </c>
      <c r="C73" s="124" t="s">
        <v>5</v>
      </c>
      <c r="D73" s="127"/>
      <c r="E73" s="127"/>
      <c r="F73" s="127"/>
      <c r="G73" s="127"/>
      <c r="H73" s="127"/>
      <c r="I73" s="127"/>
      <c r="J73" s="117"/>
      <c r="K73" s="146">
        <f t="shared" si="19"/>
        <v>0</v>
      </c>
      <c r="L73" s="146"/>
      <c r="M73" s="151" t="s">
        <v>16</v>
      </c>
      <c r="N73" s="114" t="str">
        <f t="shared" si="18"/>
        <v>-</v>
      </c>
      <c r="O73" s="114" t="str">
        <f t="shared" si="20"/>
        <v>-</v>
      </c>
    </row>
    <row r="74" spans="1:15" s="96" customFormat="1" ht="63">
      <c r="A74" s="124" t="s">
        <v>177</v>
      </c>
      <c r="B74" s="163" t="s">
        <v>191</v>
      </c>
      <c r="C74" s="124" t="s">
        <v>5</v>
      </c>
      <c r="D74" s="127"/>
      <c r="E74" s="127"/>
      <c r="F74" s="127"/>
      <c r="G74" s="127"/>
      <c r="H74" s="127"/>
      <c r="I74" s="127"/>
      <c r="J74" s="117"/>
      <c r="K74" s="146">
        <f t="shared" si="19"/>
        <v>0</v>
      </c>
      <c r="L74" s="146"/>
      <c r="M74" s="151" t="s">
        <v>16</v>
      </c>
      <c r="N74" s="114" t="str">
        <f t="shared" si="18"/>
        <v>-</v>
      </c>
      <c r="O74" s="114" t="str">
        <f t="shared" si="20"/>
        <v>-</v>
      </c>
    </row>
    <row r="75" spans="1:15" s="96" customFormat="1" ht="15.75">
      <c r="A75" s="124" t="s">
        <v>178</v>
      </c>
      <c r="B75" s="154" t="s">
        <v>26</v>
      </c>
      <c r="C75" s="124" t="s">
        <v>5</v>
      </c>
      <c r="D75" s="127"/>
      <c r="E75" s="127"/>
      <c r="F75" s="127"/>
      <c r="G75" s="127"/>
      <c r="H75" s="127"/>
      <c r="I75" s="127"/>
      <c r="J75" s="117"/>
      <c r="K75" s="146">
        <f t="shared" si="19"/>
        <v>0</v>
      </c>
      <c r="L75" s="146"/>
      <c r="M75" s="151" t="s">
        <v>16</v>
      </c>
      <c r="N75" s="114" t="str">
        <f t="shared" si="18"/>
        <v>-</v>
      </c>
      <c r="O75" s="114" t="str">
        <f t="shared" si="20"/>
        <v>-</v>
      </c>
    </row>
    <row r="76" spans="1:15" s="96" customFormat="1" ht="15.75">
      <c r="A76" s="124" t="s">
        <v>179</v>
      </c>
      <c r="B76" s="154" t="s">
        <v>27</v>
      </c>
      <c r="C76" s="124" t="s">
        <v>5</v>
      </c>
      <c r="D76" s="127"/>
      <c r="E76" s="127"/>
      <c r="F76" s="150">
        <v>5.898</v>
      </c>
      <c r="G76" s="150">
        <v>5.898</v>
      </c>
      <c r="H76" s="146">
        <f>F76*$K$36*(1-$K$35)*($K$15/$F$15)</f>
        <v>6.08425884</v>
      </c>
      <c r="I76" s="146">
        <f>G76*$K$36*(1-$K$35)*($K$15/$F$15)</f>
        <v>6.08425884</v>
      </c>
      <c r="J76" s="117"/>
      <c r="K76" s="146">
        <f t="shared" si="19"/>
        <v>6.08425884</v>
      </c>
      <c r="L76" s="146">
        <f>G76*$K$36*(1-$K$35)*($K$15/$F$15)</f>
        <v>6.08425884</v>
      </c>
      <c r="M76" s="151" t="s">
        <v>16</v>
      </c>
      <c r="N76" s="114">
        <f t="shared" si="18"/>
        <v>1.0315800000000002</v>
      </c>
      <c r="O76" s="114">
        <f t="shared" si="20"/>
        <v>1.0315800000000002</v>
      </c>
    </row>
    <row r="77" spans="1:15" s="96" customFormat="1" ht="126">
      <c r="A77" s="124" t="s">
        <v>180</v>
      </c>
      <c r="B77" s="154" t="s">
        <v>206</v>
      </c>
      <c r="C77" s="124" t="s">
        <v>5</v>
      </c>
      <c r="D77" s="127"/>
      <c r="E77" s="127"/>
      <c r="F77" s="127"/>
      <c r="G77" s="127"/>
      <c r="H77" s="127"/>
      <c r="I77" s="127"/>
      <c r="J77" s="117"/>
      <c r="K77" s="146">
        <f t="shared" si="19"/>
        <v>0</v>
      </c>
      <c r="L77" s="146"/>
      <c r="M77" s="151" t="s">
        <v>16</v>
      </c>
      <c r="N77" s="114" t="str">
        <f t="shared" si="18"/>
        <v>-</v>
      </c>
      <c r="O77" s="114" t="str">
        <f t="shared" si="20"/>
        <v>-</v>
      </c>
    </row>
    <row r="78" spans="1:15" s="96" customFormat="1" ht="31.5">
      <c r="A78" s="124" t="s">
        <v>181</v>
      </c>
      <c r="B78" s="154" t="s">
        <v>173</v>
      </c>
      <c r="C78" s="124" t="s">
        <v>5</v>
      </c>
      <c r="D78" s="127"/>
      <c r="E78" s="127"/>
      <c r="F78" s="127"/>
      <c r="G78" s="127"/>
      <c r="H78" s="127"/>
      <c r="I78" s="127"/>
      <c r="J78" s="117"/>
      <c r="K78" s="146">
        <f t="shared" si="19"/>
        <v>0</v>
      </c>
      <c r="L78" s="146"/>
      <c r="M78" s="151" t="s">
        <v>16</v>
      </c>
      <c r="N78" s="114" t="str">
        <f t="shared" si="18"/>
        <v>-</v>
      </c>
      <c r="O78" s="114" t="str">
        <f t="shared" si="20"/>
        <v>-</v>
      </c>
    </row>
    <row r="79" spans="1:15" s="96" customFormat="1" ht="15.75">
      <c r="A79" s="124" t="s">
        <v>182</v>
      </c>
      <c r="B79" s="154" t="s">
        <v>147</v>
      </c>
      <c r="C79" s="124" t="s">
        <v>5</v>
      </c>
      <c r="D79" s="127"/>
      <c r="E79" s="127"/>
      <c r="F79" s="127"/>
      <c r="G79" s="127"/>
      <c r="H79" s="127"/>
      <c r="I79" s="127"/>
      <c r="J79" s="117"/>
      <c r="K79" s="146">
        <f t="shared" si="19"/>
        <v>0</v>
      </c>
      <c r="L79" s="146"/>
      <c r="M79" s="151" t="s">
        <v>16</v>
      </c>
      <c r="N79" s="114" t="str">
        <f t="shared" si="18"/>
        <v>-</v>
      </c>
      <c r="O79" s="114" t="str">
        <f t="shared" si="20"/>
        <v>-</v>
      </c>
    </row>
    <row r="80" spans="1:15" s="96" customFormat="1" ht="15" customHeight="1">
      <c r="A80" s="135" t="s">
        <v>67</v>
      </c>
      <c r="B80" s="140" t="s">
        <v>15</v>
      </c>
      <c r="C80" s="115" t="s">
        <v>5</v>
      </c>
      <c r="D80" s="116">
        <f>ROUND(D81,1)+ROUND(D82,1)+ROUND(D90,1)+ROUND(D91,1)+ROUND(D92,1)+ROUND(D94,1)+ROUND(D93,1)</f>
        <v>0</v>
      </c>
      <c r="E80" s="116">
        <f aca="true" t="shared" si="21" ref="E80:K80">ROUND(E81,1)+ROUND(E82,1)+ROUND(E90,1)+ROUND(E91,1)+ROUND(E92,1)+ROUND(E94,1)+ROUND(E93,1)</f>
        <v>0</v>
      </c>
      <c r="F80" s="164">
        <f>ROUND(F81,1)+ROUND(F82,1)+ROUND(F90,1)+ROUND(F91,1)+ROUND(F92,1)+ROUND(F94,1)+ROUND(F93,1)</f>
        <v>678.3000000000001</v>
      </c>
      <c r="G80" s="164">
        <f t="shared" si="21"/>
        <v>678.3000000000001</v>
      </c>
      <c r="H80" s="165">
        <f t="shared" si="21"/>
        <v>708.4000000000001</v>
      </c>
      <c r="I80" s="165">
        <f t="shared" si="21"/>
        <v>1613.6</v>
      </c>
      <c r="J80" s="147" t="s">
        <v>104</v>
      </c>
      <c r="K80" s="116">
        <f t="shared" si="21"/>
        <v>1400.1</v>
      </c>
      <c r="L80" s="164">
        <f>ROUND(L81,1)+ROUND(L82,1)+ROUND(L90,1)+ROUND(L91,1)+ROUND(L92,1)+ROUND(L94,1)+ROUND(L93,1)</f>
        <v>1400.1</v>
      </c>
      <c r="M80" s="147" t="s">
        <v>104</v>
      </c>
      <c r="N80" s="114">
        <f t="shared" si="18"/>
        <v>2.064130915524104</v>
      </c>
      <c r="O80" s="114">
        <f t="shared" si="20"/>
        <v>2.064130915524104</v>
      </c>
    </row>
    <row r="81" spans="1:15" s="96" customFormat="1" ht="43.5" customHeight="1">
      <c r="A81" s="124" t="s">
        <v>95</v>
      </c>
      <c r="B81" s="126" t="s">
        <v>195</v>
      </c>
      <c r="C81" s="124" t="s">
        <v>5</v>
      </c>
      <c r="D81" s="127"/>
      <c r="E81" s="127"/>
      <c r="F81" s="127"/>
      <c r="G81" s="127"/>
      <c r="H81" s="127"/>
      <c r="I81" s="127"/>
      <c r="J81" s="117"/>
      <c r="K81" s="127"/>
      <c r="L81" s="127"/>
      <c r="M81" s="117"/>
      <c r="N81" s="114" t="str">
        <f t="shared" si="18"/>
        <v>-</v>
      </c>
      <c r="O81" s="114" t="str">
        <f t="shared" si="20"/>
        <v>-</v>
      </c>
    </row>
    <row r="82" spans="1:15" s="96" customFormat="1" ht="30.75" customHeight="1">
      <c r="A82" s="135" t="s">
        <v>96</v>
      </c>
      <c r="B82" s="140" t="s">
        <v>190</v>
      </c>
      <c r="C82" s="115" t="s">
        <v>5</v>
      </c>
      <c r="D82" s="116">
        <f aca="true" t="shared" si="22" ref="D82:I82">ROUND(D83,1)+ROUND(D84,1)+ROUND(D85,1)+ROUND(D86,1)+ROUND(D87,1)+ROUND(D88,1)+ROUND(D89,1)</f>
        <v>0</v>
      </c>
      <c r="E82" s="116">
        <f t="shared" si="22"/>
        <v>0</v>
      </c>
      <c r="F82" s="116">
        <f t="shared" si="22"/>
        <v>374.6</v>
      </c>
      <c r="G82" s="116">
        <f t="shared" si="22"/>
        <v>374.6</v>
      </c>
      <c r="H82" s="161">
        <f t="shared" si="22"/>
        <v>308</v>
      </c>
      <c r="I82" s="161">
        <f t="shared" si="22"/>
        <v>308</v>
      </c>
      <c r="J82" s="117"/>
      <c r="K82" s="116">
        <f>ROUND(K83,1)+ROUND(K84,1)+ROUND(K85,1)+ROUND(K86,1)+ROUND(K87,1)+ROUND(K88,1)+ROUND(K89,1)</f>
        <v>308</v>
      </c>
      <c r="L82" s="161">
        <f>ROUND(L83,1)+ROUND(L84,1)+ROUND(L85,1)+ROUND(L86,1)+ROUND(L87,1)+ROUND(L88,1)+ROUND(L89,1)</f>
        <v>308</v>
      </c>
      <c r="M82" s="117"/>
      <c r="N82" s="114">
        <f t="shared" si="18"/>
        <v>0.8222103577148958</v>
      </c>
      <c r="O82" s="114">
        <f t="shared" si="20"/>
        <v>0.8222103577148958</v>
      </c>
    </row>
    <row r="83" spans="1:15" s="96" customFormat="1" ht="15" customHeight="1">
      <c r="A83" s="124" t="s">
        <v>114</v>
      </c>
      <c r="B83" s="154" t="s">
        <v>14</v>
      </c>
      <c r="C83" s="124" t="s">
        <v>5</v>
      </c>
      <c r="D83" s="127"/>
      <c r="E83" s="127"/>
      <c r="F83" s="127"/>
      <c r="G83" s="127"/>
      <c r="H83" s="127"/>
      <c r="I83" s="127"/>
      <c r="J83" s="117"/>
      <c r="K83" s="127"/>
      <c r="L83" s="166"/>
      <c r="M83" s="117"/>
      <c r="N83" s="114" t="str">
        <f t="shared" si="18"/>
        <v>-</v>
      </c>
      <c r="O83" s="114" t="str">
        <f t="shared" si="20"/>
        <v>-</v>
      </c>
    </row>
    <row r="84" spans="1:15" s="96" customFormat="1" ht="15" customHeight="1">
      <c r="A84" s="124" t="s">
        <v>115</v>
      </c>
      <c r="B84" s="154" t="s">
        <v>13</v>
      </c>
      <c r="C84" s="124" t="s">
        <v>5</v>
      </c>
      <c r="D84" s="127"/>
      <c r="E84" s="127"/>
      <c r="F84" s="127"/>
      <c r="G84" s="127"/>
      <c r="H84" s="127"/>
      <c r="I84" s="127"/>
      <c r="J84" s="117"/>
      <c r="K84" s="127"/>
      <c r="L84" s="166"/>
      <c r="M84" s="117"/>
      <c r="N84" s="114" t="str">
        <f t="shared" si="18"/>
        <v>-</v>
      </c>
      <c r="O84" s="114" t="str">
        <f t="shared" si="20"/>
        <v>-</v>
      </c>
    </row>
    <row r="85" spans="1:15" s="96" customFormat="1" ht="47.25" customHeight="1">
      <c r="A85" s="124" t="s">
        <v>116</v>
      </c>
      <c r="B85" s="154" t="s">
        <v>12</v>
      </c>
      <c r="C85" s="124" t="s">
        <v>5</v>
      </c>
      <c r="D85" s="127"/>
      <c r="E85" s="127"/>
      <c r="F85" s="167">
        <v>125.87</v>
      </c>
      <c r="G85" s="167">
        <v>125.87</v>
      </c>
      <c r="H85" s="166">
        <v>125.87</v>
      </c>
      <c r="I85" s="166">
        <v>125.87</v>
      </c>
      <c r="J85" s="117"/>
      <c r="K85" s="166">
        <v>125.87</v>
      </c>
      <c r="L85" s="166">
        <v>125.87</v>
      </c>
      <c r="M85" s="117"/>
      <c r="N85" s="114">
        <f t="shared" si="18"/>
        <v>1</v>
      </c>
      <c r="O85" s="114">
        <f t="shared" si="20"/>
        <v>1</v>
      </c>
    </row>
    <row r="86" spans="1:15" s="96" customFormat="1" ht="15" customHeight="1">
      <c r="A86" s="124" t="s">
        <v>117</v>
      </c>
      <c r="B86" s="154" t="s">
        <v>11</v>
      </c>
      <c r="C86" s="124" t="s">
        <v>5</v>
      </c>
      <c r="D86" s="127"/>
      <c r="E86" s="127"/>
      <c r="F86" s="153">
        <v>5.65</v>
      </c>
      <c r="G86" s="153">
        <v>5.65</v>
      </c>
      <c r="H86" s="168">
        <v>5.65</v>
      </c>
      <c r="I86" s="168">
        <v>5.65</v>
      </c>
      <c r="J86" s="117"/>
      <c r="K86" s="166">
        <v>5.65</v>
      </c>
      <c r="L86" s="166">
        <v>5.65</v>
      </c>
      <c r="M86" s="117"/>
      <c r="N86" s="114">
        <f t="shared" si="18"/>
        <v>1</v>
      </c>
      <c r="O86" s="114">
        <f t="shared" si="20"/>
        <v>1</v>
      </c>
    </row>
    <row r="87" spans="1:15" s="96" customFormat="1" ht="45.75" customHeight="1">
      <c r="A87" s="124" t="s">
        <v>118</v>
      </c>
      <c r="B87" s="154" t="s">
        <v>60</v>
      </c>
      <c r="C87" s="124" t="s">
        <v>5</v>
      </c>
      <c r="D87" s="127"/>
      <c r="E87" s="127"/>
      <c r="F87" s="167">
        <v>83.04</v>
      </c>
      <c r="G87" s="167">
        <v>83.04</v>
      </c>
      <c r="H87" s="166">
        <v>85.746</v>
      </c>
      <c r="I87" s="166">
        <v>85.746</v>
      </c>
      <c r="J87" s="117"/>
      <c r="K87" s="166">
        <v>85.746</v>
      </c>
      <c r="L87" s="166">
        <v>85.746</v>
      </c>
      <c r="M87" s="117"/>
      <c r="N87" s="114">
        <f t="shared" si="18"/>
        <v>1.032586705202312</v>
      </c>
      <c r="O87" s="114">
        <f t="shared" si="20"/>
        <v>1.032586705202312</v>
      </c>
    </row>
    <row r="88" spans="1:15" s="96" customFormat="1" ht="23.25" customHeight="1">
      <c r="A88" s="124" t="s">
        <v>119</v>
      </c>
      <c r="B88" s="154" t="s">
        <v>120</v>
      </c>
      <c r="C88" s="124" t="s">
        <v>5</v>
      </c>
      <c r="D88" s="127"/>
      <c r="E88" s="127"/>
      <c r="F88" s="153">
        <v>160</v>
      </c>
      <c r="G88" s="153">
        <v>160</v>
      </c>
      <c r="H88" s="166">
        <v>90.666</v>
      </c>
      <c r="I88" s="166">
        <v>90.666</v>
      </c>
      <c r="J88" s="117"/>
      <c r="K88" s="166">
        <v>90.666</v>
      </c>
      <c r="L88" s="166">
        <v>90.666</v>
      </c>
      <c r="M88" s="117"/>
      <c r="N88" s="114">
        <f t="shared" si="18"/>
        <v>0.5666625</v>
      </c>
      <c r="O88" s="114">
        <f t="shared" si="20"/>
        <v>0.5666625</v>
      </c>
    </row>
    <row r="89" spans="1:15" s="96" customFormat="1" ht="56.25" customHeight="1">
      <c r="A89" s="124" t="s">
        <v>188</v>
      </c>
      <c r="B89" s="154" t="s">
        <v>189</v>
      </c>
      <c r="C89" s="124" t="s">
        <v>5</v>
      </c>
      <c r="D89" s="127"/>
      <c r="E89" s="127"/>
      <c r="F89" s="127"/>
      <c r="G89" s="127"/>
      <c r="H89" s="127"/>
      <c r="I89" s="127"/>
      <c r="J89" s="117"/>
      <c r="K89" s="127"/>
      <c r="L89" s="127"/>
      <c r="M89" s="117"/>
      <c r="N89" s="114" t="str">
        <f t="shared" si="18"/>
        <v>-</v>
      </c>
      <c r="O89" s="114" t="str">
        <f t="shared" si="20"/>
        <v>-</v>
      </c>
    </row>
    <row r="90" spans="1:15" s="96" customFormat="1" ht="110.25" customHeight="1">
      <c r="A90" s="124" t="s">
        <v>97</v>
      </c>
      <c r="B90" s="169" t="s">
        <v>192</v>
      </c>
      <c r="C90" s="124" t="s">
        <v>5</v>
      </c>
      <c r="D90" s="127"/>
      <c r="E90" s="127"/>
      <c r="F90" s="127"/>
      <c r="G90" s="127"/>
      <c r="H90" s="127"/>
      <c r="I90" s="127"/>
      <c r="J90" s="117"/>
      <c r="K90" s="127"/>
      <c r="L90" s="127"/>
      <c r="M90" s="117"/>
      <c r="N90" s="114" t="str">
        <f t="shared" si="18"/>
        <v>-</v>
      </c>
      <c r="O90" s="114" t="str">
        <f t="shared" si="20"/>
        <v>-</v>
      </c>
    </row>
    <row r="91" spans="1:15" s="96" customFormat="1" ht="15" customHeight="1">
      <c r="A91" s="124" t="s">
        <v>109</v>
      </c>
      <c r="B91" s="126" t="s">
        <v>110</v>
      </c>
      <c r="C91" s="124" t="s">
        <v>5</v>
      </c>
      <c r="D91" s="127"/>
      <c r="E91" s="127"/>
      <c r="F91" s="127"/>
      <c r="G91" s="127"/>
      <c r="H91" s="127"/>
      <c r="I91" s="127"/>
      <c r="J91" s="117"/>
      <c r="K91" s="127"/>
      <c r="L91" s="127"/>
      <c r="M91" s="117"/>
      <c r="N91" s="114" t="str">
        <f t="shared" si="18"/>
        <v>-</v>
      </c>
      <c r="O91" s="114" t="str">
        <f t="shared" si="20"/>
        <v>-</v>
      </c>
    </row>
    <row r="92" spans="1:15" s="96" customFormat="1" ht="84.75" customHeight="1">
      <c r="A92" s="124" t="s">
        <v>111</v>
      </c>
      <c r="B92" s="126" t="s">
        <v>17</v>
      </c>
      <c r="C92" s="124" t="s">
        <v>5</v>
      </c>
      <c r="D92" s="127"/>
      <c r="E92" s="127"/>
      <c r="F92" s="150">
        <v>225.069</v>
      </c>
      <c r="G92" s="150">
        <v>225.069</v>
      </c>
      <c r="H92" s="166">
        <v>225.069</v>
      </c>
      <c r="I92" s="166">
        <f>225.069+213.488</f>
        <v>438.557</v>
      </c>
      <c r="J92" s="117"/>
      <c r="K92" s="150">
        <f>H92</f>
        <v>225.069</v>
      </c>
      <c r="L92" s="150">
        <v>225.069</v>
      </c>
      <c r="M92" s="117" t="s">
        <v>224</v>
      </c>
      <c r="N92" s="114">
        <f t="shared" si="18"/>
        <v>1</v>
      </c>
      <c r="O92" s="114">
        <f t="shared" si="20"/>
        <v>1</v>
      </c>
    </row>
    <row r="93" spans="1:15" s="96" customFormat="1" ht="47.25" customHeight="1">
      <c r="A93" s="124" t="s">
        <v>112</v>
      </c>
      <c r="B93" s="126" t="s">
        <v>193</v>
      </c>
      <c r="C93" s="124" t="s">
        <v>5</v>
      </c>
      <c r="D93" s="127"/>
      <c r="E93" s="127"/>
      <c r="F93" s="127"/>
      <c r="G93" s="127"/>
      <c r="H93" s="127"/>
      <c r="I93" s="127"/>
      <c r="J93" s="117"/>
      <c r="K93" s="127"/>
      <c r="L93" s="127"/>
      <c r="M93" s="117"/>
      <c r="N93" s="114" t="str">
        <f aca="true" t="shared" si="23" ref="N93:N124">IF(AND(F93&gt;0,K93&gt;0),K93/F93,"-")</f>
        <v>-</v>
      </c>
      <c r="O93" s="114" t="str">
        <f t="shared" si="20"/>
        <v>-</v>
      </c>
    </row>
    <row r="94" spans="1:15" s="96" customFormat="1" ht="45.75" customHeight="1">
      <c r="A94" s="124" t="s">
        <v>113</v>
      </c>
      <c r="B94" s="126" t="s">
        <v>194</v>
      </c>
      <c r="C94" s="124" t="s">
        <v>5</v>
      </c>
      <c r="D94" s="127"/>
      <c r="E94" s="127"/>
      <c r="F94" s="167">
        <v>78.6</v>
      </c>
      <c r="G94" s="167">
        <v>78.6</v>
      </c>
      <c r="H94" s="166">
        <v>175.344</v>
      </c>
      <c r="I94" s="166">
        <v>866.964</v>
      </c>
      <c r="J94" s="117"/>
      <c r="K94" s="150">
        <v>866.964</v>
      </c>
      <c r="L94" s="150">
        <v>866.964</v>
      </c>
      <c r="M94" s="117"/>
      <c r="N94" s="114">
        <f t="shared" si="23"/>
        <v>11.030076335877864</v>
      </c>
      <c r="O94" s="114">
        <f t="shared" si="20"/>
        <v>11.030076335877864</v>
      </c>
    </row>
    <row r="95" spans="1:15" ht="30" customHeight="1">
      <c r="A95" s="139" t="s">
        <v>68</v>
      </c>
      <c r="B95" s="140" t="s">
        <v>168</v>
      </c>
      <c r="C95" s="115" t="s">
        <v>5</v>
      </c>
      <c r="D95" s="116">
        <f aca="true" t="shared" si="24" ref="D95:I95">ROUND(D96,1)+ROUND(D108,1)+ROUND(D121,1)+ROUND(D124,1)+ROUND(D127,1)+ROUND(D130,1)+ROUND(D133,1)+ROUND(D134,1)</f>
        <v>0</v>
      </c>
      <c r="E95" s="116">
        <f t="shared" si="24"/>
        <v>0</v>
      </c>
      <c r="F95" s="116">
        <f t="shared" si="24"/>
        <v>0</v>
      </c>
      <c r="G95" s="116">
        <f t="shared" si="24"/>
        <v>0</v>
      </c>
      <c r="H95" s="116">
        <f t="shared" si="24"/>
        <v>0</v>
      </c>
      <c r="I95" s="116">
        <f t="shared" si="24"/>
        <v>0</v>
      </c>
      <c r="J95" s="117"/>
      <c r="K95" s="116">
        <f>ROUND(K96,1)+ROUND(K108,1)+ROUND(K121,1)+ROUND(K124,1)+ROUND(K127,1)+ROUND(K130,1)+ROUND(K133,1)+ROUND(K134,1)</f>
        <v>0</v>
      </c>
      <c r="L95" s="116">
        <v>0</v>
      </c>
      <c r="M95" s="117"/>
      <c r="N95" s="114" t="str">
        <f t="shared" si="23"/>
        <v>-</v>
      </c>
      <c r="O95" s="114" t="str">
        <f t="shared" si="20"/>
        <v>-</v>
      </c>
    </row>
    <row r="96" spans="1:15" ht="15" customHeight="1">
      <c r="A96" s="124" t="s">
        <v>98</v>
      </c>
      <c r="B96" s="170" t="s">
        <v>142</v>
      </c>
      <c r="C96" s="124" t="s">
        <v>5</v>
      </c>
      <c r="D96" s="127"/>
      <c r="E96" s="127"/>
      <c r="F96" s="127"/>
      <c r="G96" s="127"/>
      <c r="H96" s="127"/>
      <c r="I96" s="127"/>
      <c r="J96" s="117"/>
      <c r="K96" s="127"/>
      <c r="L96" s="127"/>
      <c r="M96" s="117"/>
      <c r="N96" s="114" t="str">
        <f t="shared" si="23"/>
        <v>-</v>
      </c>
      <c r="O96" s="114" t="str">
        <f t="shared" si="20"/>
        <v>-</v>
      </c>
    </row>
    <row r="97" spans="1:15" ht="15" customHeight="1" hidden="1">
      <c r="A97" s="124"/>
      <c r="B97" s="152" t="s">
        <v>125</v>
      </c>
      <c r="C97" s="124" t="s">
        <v>138</v>
      </c>
      <c r="D97" s="127">
        <v>10</v>
      </c>
      <c r="E97" s="127">
        <v>10</v>
      </c>
      <c r="F97" s="127">
        <v>10</v>
      </c>
      <c r="G97" s="127">
        <v>10</v>
      </c>
      <c r="H97" s="127">
        <v>10</v>
      </c>
      <c r="I97" s="127"/>
      <c r="J97" s="117"/>
      <c r="K97" s="127">
        <v>10</v>
      </c>
      <c r="L97" s="127"/>
      <c r="M97" s="117"/>
      <c r="N97" s="114">
        <f t="shared" si="23"/>
        <v>1</v>
      </c>
      <c r="O97" s="114" t="str">
        <f t="shared" si="20"/>
        <v>-</v>
      </c>
    </row>
    <row r="98" spans="1:15" ht="15" customHeight="1" hidden="1">
      <c r="A98" s="124"/>
      <c r="B98" s="157" t="s">
        <v>121</v>
      </c>
      <c r="C98" s="124" t="s">
        <v>138</v>
      </c>
      <c r="D98" s="127">
        <v>10</v>
      </c>
      <c r="E98" s="127">
        <v>10</v>
      </c>
      <c r="F98" s="127">
        <v>10</v>
      </c>
      <c r="G98" s="127">
        <v>10</v>
      </c>
      <c r="H98" s="127">
        <v>10</v>
      </c>
      <c r="I98" s="127"/>
      <c r="J98" s="117"/>
      <c r="K98" s="127">
        <v>10</v>
      </c>
      <c r="L98" s="127"/>
      <c r="M98" s="117"/>
      <c r="N98" s="114">
        <f t="shared" si="23"/>
        <v>1</v>
      </c>
      <c r="O98" s="114" t="str">
        <f t="shared" si="20"/>
        <v>-</v>
      </c>
    </row>
    <row r="99" spans="1:15" ht="15" customHeight="1" hidden="1">
      <c r="A99" s="124"/>
      <c r="B99" s="157" t="s">
        <v>122</v>
      </c>
      <c r="C99" s="124" t="s">
        <v>138</v>
      </c>
      <c r="D99" s="127">
        <v>10</v>
      </c>
      <c r="E99" s="127">
        <v>10</v>
      </c>
      <c r="F99" s="127">
        <v>10</v>
      </c>
      <c r="G99" s="127">
        <v>10</v>
      </c>
      <c r="H99" s="127">
        <v>10</v>
      </c>
      <c r="I99" s="127"/>
      <c r="J99" s="117"/>
      <c r="K99" s="127">
        <v>10</v>
      </c>
      <c r="L99" s="127"/>
      <c r="M99" s="117"/>
      <c r="N99" s="114">
        <f t="shared" si="23"/>
        <v>1</v>
      </c>
      <c r="O99" s="114" t="str">
        <f aca="true" t="shared" si="25" ref="O99:O130">IF(AND(G99&gt;0,L99&gt;0),L99/G99,"-")</f>
        <v>-</v>
      </c>
    </row>
    <row r="100" spans="1:15" ht="15" customHeight="1" hidden="1">
      <c r="A100" s="124"/>
      <c r="B100" s="157" t="s">
        <v>123</v>
      </c>
      <c r="C100" s="124" t="s">
        <v>138</v>
      </c>
      <c r="D100" s="127">
        <v>10</v>
      </c>
      <c r="E100" s="127">
        <v>10</v>
      </c>
      <c r="F100" s="127">
        <v>10</v>
      </c>
      <c r="G100" s="127">
        <v>10</v>
      </c>
      <c r="H100" s="127">
        <v>10</v>
      </c>
      <c r="I100" s="127"/>
      <c r="J100" s="117"/>
      <c r="K100" s="127">
        <v>10</v>
      </c>
      <c r="L100" s="127"/>
      <c r="M100" s="117"/>
      <c r="N100" s="114">
        <f t="shared" si="23"/>
        <v>1</v>
      </c>
      <c r="O100" s="114" t="str">
        <f t="shared" si="25"/>
        <v>-</v>
      </c>
    </row>
    <row r="101" spans="1:15" ht="15" customHeight="1" hidden="1">
      <c r="A101" s="124"/>
      <c r="B101" s="157" t="s">
        <v>124</v>
      </c>
      <c r="C101" s="124" t="s">
        <v>138</v>
      </c>
      <c r="D101" s="127">
        <v>10</v>
      </c>
      <c r="E101" s="127">
        <v>10</v>
      </c>
      <c r="F101" s="127">
        <v>10</v>
      </c>
      <c r="G101" s="127">
        <v>10</v>
      </c>
      <c r="H101" s="127">
        <v>10</v>
      </c>
      <c r="I101" s="127"/>
      <c r="J101" s="117"/>
      <c r="K101" s="127">
        <v>10</v>
      </c>
      <c r="L101" s="127"/>
      <c r="M101" s="117"/>
      <c r="N101" s="114">
        <f t="shared" si="23"/>
        <v>1</v>
      </c>
      <c r="O101" s="114" t="str">
        <f t="shared" si="25"/>
        <v>-</v>
      </c>
    </row>
    <row r="102" spans="1:15" ht="15" customHeight="1" hidden="1">
      <c r="A102" s="124"/>
      <c r="B102" s="157" t="s">
        <v>128</v>
      </c>
      <c r="C102" s="124"/>
      <c r="D102" s="127">
        <v>10</v>
      </c>
      <c r="E102" s="127">
        <v>10</v>
      </c>
      <c r="F102" s="127">
        <v>10</v>
      </c>
      <c r="G102" s="127">
        <v>10</v>
      </c>
      <c r="H102" s="127">
        <v>10</v>
      </c>
      <c r="I102" s="127"/>
      <c r="J102" s="117"/>
      <c r="K102" s="127">
        <v>10</v>
      </c>
      <c r="L102" s="127"/>
      <c r="M102" s="117"/>
      <c r="N102" s="114">
        <f t="shared" si="23"/>
        <v>1</v>
      </c>
      <c r="O102" s="114" t="str">
        <f t="shared" si="25"/>
        <v>-</v>
      </c>
    </row>
    <row r="103" spans="1:15" ht="17.25" customHeight="1" hidden="1">
      <c r="A103" s="124"/>
      <c r="B103" s="152" t="s">
        <v>126</v>
      </c>
      <c r="C103" s="124"/>
      <c r="D103" s="127">
        <v>10</v>
      </c>
      <c r="E103" s="127">
        <v>10</v>
      </c>
      <c r="F103" s="127">
        <v>10</v>
      </c>
      <c r="G103" s="127">
        <v>10</v>
      </c>
      <c r="H103" s="127">
        <v>10</v>
      </c>
      <c r="I103" s="127"/>
      <c r="J103" s="117"/>
      <c r="K103" s="127">
        <v>10</v>
      </c>
      <c r="L103" s="127"/>
      <c r="M103" s="117"/>
      <c r="N103" s="114">
        <f t="shared" si="23"/>
        <v>1</v>
      </c>
      <c r="O103" s="114" t="str">
        <f t="shared" si="25"/>
        <v>-</v>
      </c>
    </row>
    <row r="104" spans="1:15" ht="15" customHeight="1" hidden="1">
      <c r="A104" s="124"/>
      <c r="B104" s="157" t="s">
        <v>121</v>
      </c>
      <c r="C104" s="124" t="s">
        <v>28</v>
      </c>
      <c r="D104" s="127">
        <v>10</v>
      </c>
      <c r="E104" s="127">
        <v>10</v>
      </c>
      <c r="F104" s="127">
        <v>10</v>
      </c>
      <c r="G104" s="127">
        <v>10</v>
      </c>
      <c r="H104" s="127">
        <v>10</v>
      </c>
      <c r="I104" s="127"/>
      <c r="J104" s="117"/>
      <c r="K104" s="127">
        <v>10</v>
      </c>
      <c r="L104" s="127"/>
      <c r="M104" s="117"/>
      <c r="N104" s="114">
        <f t="shared" si="23"/>
        <v>1</v>
      </c>
      <c r="O104" s="114" t="str">
        <f t="shared" si="25"/>
        <v>-</v>
      </c>
    </row>
    <row r="105" spans="1:15" ht="15" customHeight="1" hidden="1">
      <c r="A105" s="124"/>
      <c r="B105" s="157" t="s">
        <v>122</v>
      </c>
      <c r="C105" s="124" t="s">
        <v>28</v>
      </c>
      <c r="D105" s="127">
        <v>10</v>
      </c>
      <c r="E105" s="127">
        <v>10</v>
      </c>
      <c r="F105" s="127">
        <v>10</v>
      </c>
      <c r="G105" s="127">
        <v>10</v>
      </c>
      <c r="H105" s="127">
        <v>10</v>
      </c>
      <c r="I105" s="127"/>
      <c r="J105" s="117"/>
      <c r="K105" s="127">
        <v>10</v>
      </c>
      <c r="L105" s="127"/>
      <c r="M105" s="117"/>
      <c r="N105" s="114">
        <f t="shared" si="23"/>
        <v>1</v>
      </c>
      <c r="O105" s="114" t="str">
        <f t="shared" si="25"/>
        <v>-</v>
      </c>
    </row>
    <row r="106" spans="1:15" ht="15" customHeight="1" hidden="1">
      <c r="A106" s="124"/>
      <c r="B106" s="157" t="s">
        <v>123</v>
      </c>
      <c r="C106" s="124" t="s">
        <v>28</v>
      </c>
      <c r="D106" s="127">
        <v>10</v>
      </c>
      <c r="E106" s="127">
        <v>10</v>
      </c>
      <c r="F106" s="127">
        <v>10</v>
      </c>
      <c r="G106" s="127">
        <v>10</v>
      </c>
      <c r="H106" s="127">
        <v>10</v>
      </c>
      <c r="I106" s="127"/>
      <c r="J106" s="117"/>
      <c r="K106" s="127">
        <v>10</v>
      </c>
      <c r="L106" s="127"/>
      <c r="M106" s="117"/>
      <c r="N106" s="114">
        <f t="shared" si="23"/>
        <v>1</v>
      </c>
      <c r="O106" s="114" t="str">
        <f t="shared" si="25"/>
        <v>-</v>
      </c>
    </row>
    <row r="107" spans="1:15" ht="15" customHeight="1" hidden="1">
      <c r="A107" s="124"/>
      <c r="B107" s="157" t="s">
        <v>124</v>
      </c>
      <c r="C107" s="124" t="s">
        <v>28</v>
      </c>
      <c r="D107" s="127">
        <v>10</v>
      </c>
      <c r="E107" s="127">
        <v>10</v>
      </c>
      <c r="F107" s="127">
        <v>10</v>
      </c>
      <c r="G107" s="127">
        <v>10</v>
      </c>
      <c r="H107" s="127">
        <v>10</v>
      </c>
      <c r="I107" s="127"/>
      <c r="J107" s="117"/>
      <c r="K107" s="127">
        <v>10</v>
      </c>
      <c r="L107" s="127"/>
      <c r="M107" s="117"/>
      <c r="N107" s="114">
        <f t="shared" si="23"/>
        <v>1</v>
      </c>
      <c r="O107" s="114" t="str">
        <f t="shared" si="25"/>
        <v>-</v>
      </c>
    </row>
    <row r="108" spans="1:15" ht="15" customHeight="1">
      <c r="A108" s="124" t="s">
        <v>99</v>
      </c>
      <c r="B108" s="170" t="s">
        <v>141</v>
      </c>
      <c r="C108" s="124" t="s">
        <v>5</v>
      </c>
      <c r="D108" s="127"/>
      <c r="E108" s="127"/>
      <c r="F108" s="127"/>
      <c r="G108" s="127"/>
      <c r="H108" s="127"/>
      <c r="I108" s="127"/>
      <c r="J108" s="117"/>
      <c r="K108" s="127"/>
      <c r="L108" s="127"/>
      <c r="M108" s="117"/>
      <c r="N108" s="114" t="str">
        <f t="shared" si="23"/>
        <v>-</v>
      </c>
      <c r="O108" s="114" t="str">
        <f t="shared" si="25"/>
        <v>-</v>
      </c>
    </row>
    <row r="109" spans="1:15" ht="15" customHeight="1" hidden="1">
      <c r="A109" s="124"/>
      <c r="B109" s="143" t="s">
        <v>127</v>
      </c>
      <c r="C109" s="124"/>
      <c r="D109" s="127"/>
      <c r="E109" s="127"/>
      <c r="F109" s="127"/>
      <c r="G109" s="127"/>
      <c r="H109" s="127"/>
      <c r="I109" s="127"/>
      <c r="J109" s="117"/>
      <c r="K109" s="127"/>
      <c r="L109" s="127"/>
      <c r="M109" s="117"/>
      <c r="N109" s="114" t="str">
        <f t="shared" si="23"/>
        <v>-</v>
      </c>
      <c r="O109" s="114" t="str">
        <f t="shared" si="25"/>
        <v>-</v>
      </c>
    </row>
    <row r="110" spans="1:15" ht="15" customHeight="1" hidden="1">
      <c r="A110" s="124"/>
      <c r="B110" s="157" t="s">
        <v>121</v>
      </c>
      <c r="C110" s="124" t="s">
        <v>139</v>
      </c>
      <c r="D110" s="127"/>
      <c r="E110" s="127"/>
      <c r="F110" s="127"/>
      <c r="G110" s="127"/>
      <c r="H110" s="127"/>
      <c r="I110" s="127"/>
      <c r="J110" s="117"/>
      <c r="K110" s="127"/>
      <c r="L110" s="127"/>
      <c r="M110" s="117"/>
      <c r="N110" s="114" t="str">
        <f t="shared" si="23"/>
        <v>-</v>
      </c>
      <c r="O110" s="114" t="str">
        <f t="shared" si="25"/>
        <v>-</v>
      </c>
    </row>
    <row r="111" spans="1:15" ht="15" customHeight="1" hidden="1">
      <c r="A111" s="124"/>
      <c r="B111" s="157" t="s">
        <v>122</v>
      </c>
      <c r="C111" s="124" t="s">
        <v>139</v>
      </c>
      <c r="D111" s="127"/>
      <c r="E111" s="127"/>
      <c r="F111" s="127"/>
      <c r="G111" s="127"/>
      <c r="H111" s="127"/>
      <c r="I111" s="127"/>
      <c r="J111" s="117"/>
      <c r="K111" s="127"/>
      <c r="L111" s="127"/>
      <c r="M111" s="117"/>
      <c r="N111" s="114" t="str">
        <f t="shared" si="23"/>
        <v>-</v>
      </c>
      <c r="O111" s="114" t="str">
        <f t="shared" si="25"/>
        <v>-</v>
      </c>
    </row>
    <row r="112" spans="1:15" ht="15" customHeight="1" hidden="1">
      <c r="A112" s="124"/>
      <c r="B112" s="157" t="s">
        <v>123</v>
      </c>
      <c r="C112" s="124" t="s">
        <v>139</v>
      </c>
      <c r="D112" s="127"/>
      <c r="E112" s="127"/>
      <c r="F112" s="127"/>
      <c r="G112" s="127"/>
      <c r="H112" s="127"/>
      <c r="I112" s="127"/>
      <c r="J112" s="117"/>
      <c r="K112" s="127"/>
      <c r="L112" s="127"/>
      <c r="M112" s="117"/>
      <c r="N112" s="114" t="str">
        <f t="shared" si="23"/>
        <v>-</v>
      </c>
      <c r="O112" s="114" t="str">
        <f t="shared" si="25"/>
        <v>-</v>
      </c>
    </row>
    <row r="113" spans="1:15" ht="15" customHeight="1" hidden="1">
      <c r="A113" s="124"/>
      <c r="B113" s="157" t="s">
        <v>124</v>
      </c>
      <c r="C113" s="124" t="s">
        <v>139</v>
      </c>
      <c r="D113" s="127"/>
      <c r="E113" s="127"/>
      <c r="F113" s="127"/>
      <c r="G113" s="127"/>
      <c r="H113" s="127"/>
      <c r="I113" s="127"/>
      <c r="J113" s="117"/>
      <c r="K113" s="127"/>
      <c r="L113" s="127"/>
      <c r="M113" s="117"/>
      <c r="N113" s="114" t="str">
        <f t="shared" si="23"/>
        <v>-</v>
      </c>
      <c r="O113" s="114" t="str">
        <f t="shared" si="25"/>
        <v>-</v>
      </c>
    </row>
    <row r="114" spans="1:15" ht="15" customHeight="1" hidden="1">
      <c r="A114" s="124"/>
      <c r="B114" s="157" t="s">
        <v>128</v>
      </c>
      <c r="C114" s="124" t="s">
        <v>139</v>
      </c>
      <c r="D114" s="127"/>
      <c r="E114" s="127"/>
      <c r="F114" s="127"/>
      <c r="G114" s="127"/>
      <c r="H114" s="127"/>
      <c r="I114" s="127"/>
      <c r="J114" s="117"/>
      <c r="K114" s="127"/>
      <c r="L114" s="127"/>
      <c r="M114" s="117"/>
      <c r="N114" s="114" t="str">
        <f t="shared" si="23"/>
        <v>-</v>
      </c>
      <c r="O114" s="114" t="str">
        <f t="shared" si="25"/>
        <v>-</v>
      </c>
    </row>
    <row r="115" spans="1:15" ht="15" customHeight="1" hidden="1">
      <c r="A115" s="124"/>
      <c r="B115" s="143" t="s">
        <v>129</v>
      </c>
      <c r="C115" s="104"/>
      <c r="D115" s="127"/>
      <c r="E115" s="127"/>
      <c r="F115" s="127"/>
      <c r="G115" s="127"/>
      <c r="H115" s="127"/>
      <c r="I115" s="127"/>
      <c r="J115" s="117"/>
      <c r="K115" s="127"/>
      <c r="L115" s="127"/>
      <c r="M115" s="117"/>
      <c r="N115" s="114" t="str">
        <f t="shared" si="23"/>
        <v>-</v>
      </c>
      <c r="O115" s="114" t="str">
        <f t="shared" si="25"/>
        <v>-</v>
      </c>
    </row>
    <row r="116" spans="1:15" ht="15" customHeight="1" hidden="1">
      <c r="A116" s="124"/>
      <c r="B116" s="157" t="s">
        <v>121</v>
      </c>
      <c r="C116" s="104" t="s">
        <v>140</v>
      </c>
      <c r="D116" s="127"/>
      <c r="E116" s="127"/>
      <c r="F116" s="127"/>
      <c r="G116" s="127"/>
      <c r="H116" s="127"/>
      <c r="I116" s="127"/>
      <c r="J116" s="117"/>
      <c r="K116" s="127"/>
      <c r="L116" s="127"/>
      <c r="M116" s="117"/>
      <c r="N116" s="114" t="str">
        <f t="shared" si="23"/>
        <v>-</v>
      </c>
      <c r="O116" s="114" t="str">
        <f t="shared" si="25"/>
        <v>-</v>
      </c>
    </row>
    <row r="117" spans="1:15" ht="15" customHeight="1" hidden="1">
      <c r="A117" s="124"/>
      <c r="B117" s="157" t="s">
        <v>122</v>
      </c>
      <c r="C117" s="104" t="s">
        <v>140</v>
      </c>
      <c r="D117" s="127"/>
      <c r="E117" s="127"/>
      <c r="F117" s="127"/>
      <c r="G117" s="127"/>
      <c r="H117" s="127"/>
      <c r="I117" s="127"/>
      <c r="J117" s="117"/>
      <c r="K117" s="127"/>
      <c r="L117" s="127"/>
      <c r="M117" s="117"/>
      <c r="N117" s="114" t="str">
        <f t="shared" si="23"/>
        <v>-</v>
      </c>
      <c r="O117" s="114" t="str">
        <f t="shared" si="25"/>
        <v>-</v>
      </c>
    </row>
    <row r="118" spans="1:15" ht="15" customHeight="1" hidden="1">
      <c r="A118" s="124"/>
      <c r="B118" s="157" t="s">
        <v>123</v>
      </c>
      <c r="C118" s="104" t="s">
        <v>140</v>
      </c>
      <c r="D118" s="127"/>
      <c r="E118" s="127"/>
      <c r="F118" s="127"/>
      <c r="G118" s="127"/>
      <c r="H118" s="127"/>
      <c r="I118" s="127"/>
      <c r="J118" s="117"/>
      <c r="K118" s="127"/>
      <c r="L118" s="127"/>
      <c r="M118" s="117"/>
      <c r="N118" s="114" t="str">
        <f t="shared" si="23"/>
        <v>-</v>
      </c>
      <c r="O118" s="114" t="str">
        <f t="shared" si="25"/>
        <v>-</v>
      </c>
    </row>
    <row r="119" spans="1:15" ht="15" customHeight="1" hidden="1">
      <c r="A119" s="124"/>
      <c r="B119" s="157" t="s">
        <v>124</v>
      </c>
      <c r="C119" s="104" t="s">
        <v>140</v>
      </c>
      <c r="D119" s="127"/>
      <c r="E119" s="127"/>
      <c r="F119" s="127"/>
      <c r="G119" s="127"/>
      <c r="H119" s="127"/>
      <c r="I119" s="127"/>
      <c r="J119" s="117"/>
      <c r="K119" s="127"/>
      <c r="L119" s="127"/>
      <c r="M119" s="117"/>
      <c r="N119" s="114" t="str">
        <f t="shared" si="23"/>
        <v>-</v>
      </c>
      <c r="O119" s="114" t="str">
        <f t="shared" si="25"/>
        <v>-</v>
      </c>
    </row>
    <row r="120" spans="1:15" ht="15" customHeight="1" hidden="1">
      <c r="A120" s="124"/>
      <c r="B120" s="157" t="s">
        <v>128</v>
      </c>
      <c r="C120" s="104" t="s">
        <v>140</v>
      </c>
      <c r="D120" s="127"/>
      <c r="E120" s="127"/>
      <c r="F120" s="127"/>
      <c r="G120" s="127"/>
      <c r="H120" s="127"/>
      <c r="I120" s="127"/>
      <c r="J120" s="117"/>
      <c r="K120" s="127"/>
      <c r="L120" s="127"/>
      <c r="M120" s="117"/>
      <c r="N120" s="114" t="str">
        <f t="shared" si="23"/>
        <v>-</v>
      </c>
      <c r="O120" s="114" t="str">
        <f t="shared" si="25"/>
        <v>-</v>
      </c>
    </row>
    <row r="121" spans="1:15" s="96" customFormat="1" ht="15.75">
      <c r="A121" s="124" t="s">
        <v>100</v>
      </c>
      <c r="B121" s="154" t="s">
        <v>143</v>
      </c>
      <c r="C121" s="124" t="s">
        <v>5</v>
      </c>
      <c r="D121" s="127"/>
      <c r="E121" s="127"/>
      <c r="F121" s="127"/>
      <c r="G121" s="127"/>
      <c r="H121" s="127"/>
      <c r="I121" s="127"/>
      <c r="J121" s="171"/>
      <c r="K121" s="127"/>
      <c r="L121" s="127"/>
      <c r="M121" s="117"/>
      <c r="N121" s="114" t="str">
        <f t="shared" si="23"/>
        <v>-</v>
      </c>
      <c r="O121" s="114" t="str">
        <f t="shared" si="25"/>
        <v>-</v>
      </c>
    </row>
    <row r="122" spans="1:15" s="96" customFormat="1" ht="15" customHeight="1" hidden="1">
      <c r="A122" s="124"/>
      <c r="B122" s="152" t="s">
        <v>53</v>
      </c>
      <c r="C122" s="124" t="s">
        <v>136</v>
      </c>
      <c r="D122" s="127"/>
      <c r="E122" s="127"/>
      <c r="F122" s="127"/>
      <c r="G122" s="127"/>
      <c r="H122" s="127"/>
      <c r="I122" s="127"/>
      <c r="J122" s="171"/>
      <c r="K122" s="127"/>
      <c r="L122" s="127"/>
      <c r="M122" s="117"/>
      <c r="N122" s="114" t="str">
        <f t="shared" si="23"/>
        <v>-</v>
      </c>
      <c r="O122" s="114" t="str">
        <f t="shared" si="25"/>
        <v>-</v>
      </c>
    </row>
    <row r="123" spans="1:15" s="96" customFormat="1" ht="15" customHeight="1" hidden="1">
      <c r="A123" s="124"/>
      <c r="B123" s="152" t="s">
        <v>54</v>
      </c>
      <c r="C123" s="124" t="s">
        <v>55</v>
      </c>
      <c r="D123" s="127"/>
      <c r="E123" s="127"/>
      <c r="F123" s="127"/>
      <c r="G123" s="127"/>
      <c r="H123" s="127"/>
      <c r="I123" s="127"/>
      <c r="J123" s="171"/>
      <c r="K123" s="127"/>
      <c r="L123" s="127"/>
      <c r="M123" s="117"/>
      <c r="N123" s="114" t="str">
        <f t="shared" si="23"/>
        <v>-</v>
      </c>
      <c r="O123" s="114" t="str">
        <f t="shared" si="25"/>
        <v>-</v>
      </c>
    </row>
    <row r="124" spans="1:15" s="96" customFormat="1" ht="15.75">
      <c r="A124" s="124" t="s">
        <v>131</v>
      </c>
      <c r="B124" s="154" t="s">
        <v>144</v>
      </c>
      <c r="C124" s="124" t="s">
        <v>5</v>
      </c>
      <c r="D124" s="127"/>
      <c r="E124" s="127"/>
      <c r="F124" s="127"/>
      <c r="G124" s="127"/>
      <c r="H124" s="127"/>
      <c r="I124" s="127"/>
      <c r="J124" s="171"/>
      <c r="K124" s="127"/>
      <c r="L124" s="127"/>
      <c r="M124" s="117"/>
      <c r="N124" s="114" t="str">
        <f t="shared" si="23"/>
        <v>-</v>
      </c>
      <c r="O124" s="114" t="str">
        <f t="shared" si="25"/>
        <v>-</v>
      </c>
    </row>
    <row r="125" spans="1:15" s="96" customFormat="1" ht="15" customHeight="1" hidden="1">
      <c r="A125" s="124"/>
      <c r="B125" s="152" t="s">
        <v>56</v>
      </c>
      <c r="C125" s="121" t="s">
        <v>137</v>
      </c>
      <c r="D125" s="127"/>
      <c r="E125" s="127"/>
      <c r="F125" s="127"/>
      <c r="G125" s="127"/>
      <c r="H125" s="127"/>
      <c r="I125" s="127"/>
      <c r="J125" s="171"/>
      <c r="K125" s="127"/>
      <c r="L125" s="127"/>
      <c r="M125" s="117"/>
      <c r="N125" s="114" t="str">
        <f aca="true" t="shared" si="26" ref="N125:N145">IF(AND(F125&gt;0,K125&gt;0),K125/F125,"-")</f>
        <v>-</v>
      </c>
      <c r="O125" s="114" t="str">
        <f t="shared" si="25"/>
        <v>-</v>
      </c>
    </row>
    <row r="126" spans="1:15" s="96" customFormat="1" ht="15" customHeight="1" hidden="1">
      <c r="A126" s="124"/>
      <c r="B126" s="152" t="s">
        <v>57</v>
      </c>
      <c r="C126" s="124" t="s">
        <v>10</v>
      </c>
      <c r="D126" s="127"/>
      <c r="E126" s="127"/>
      <c r="F126" s="127"/>
      <c r="G126" s="127"/>
      <c r="H126" s="127"/>
      <c r="I126" s="127"/>
      <c r="J126" s="171"/>
      <c r="K126" s="127"/>
      <c r="L126" s="127"/>
      <c r="M126" s="117"/>
      <c r="N126" s="114" t="str">
        <f t="shared" si="26"/>
        <v>-</v>
      </c>
      <c r="O126" s="114" t="str">
        <f t="shared" si="25"/>
        <v>-</v>
      </c>
    </row>
    <row r="127" spans="1:15" s="96" customFormat="1" ht="15.75">
      <c r="A127" s="124" t="s">
        <v>132</v>
      </c>
      <c r="B127" s="154" t="s">
        <v>146</v>
      </c>
      <c r="C127" s="124" t="s">
        <v>5</v>
      </c>
      <c r="D127" s="127"/>
      <c r="E127" s="127"/>
      <c r="F127" s="127"/>
      <c r="G127" s="127"/>
      <c r="H127" s="127"/>
      <c r="I127" s="127"/>
      <c r="J127" s="171"/>
      <c r="K127" s="127"/>
      <c r="L127" s="127"/>
      <c r="M127" s="117"/>
      <c r="N127" s="114" t="str">
        <f t="shared" si="26"/>
        <v>-</v>
      </c>
      <c r="O127" s="114" t="str">
        <f t="shared" si="25"/>
        <v>-</v>
      </c>
    </row>
    <row r="128" spans="1:15" s="96" customFormat="1" ht="15" customHeight="1" hidden="1">
      <c r="A128" s="124"/>
      <c r="B128" s="152" t="s">
        <v>29</v>
      </c>
      <c r="C128" s="121" t="s">
        <v>137</v>
      </c>
      <c r="D128" s="127"/>
      <c r="E128" s="127"/>
      <c r="F128" s="127"/>
      <c r="G128" s="127"/>
      <c r="H128" s="127"/>
      <c r="I128" s="127"/>
      <c r="J128" s="171"/>
      <c r="K128" s="127"/>
      <c r="L128" s="127"/>
      <c r="M128" s="117"/>
      <c r="N128" s="114" t="str">
        <f t="shared" si="26"/>
        <v>-</v>
      </c>
      <c r="O128" s="114" t="str">
        <f t="shared" si="25"/>
        <v>-</v>
      </c>
    </row>
    <row r="129" spans="1:15" s="96" customFormat="1" ht="15" customHeight="1" hidden="1">
      <c r="A129" s="124"/>
      <c r="B129" s="152" t="s">
        <v>30</v>
      </c>
      <c r="C129" s="124" t="s">
        <v>10</v>
      </c>
      <c r="D129" s="127"/>
      <c r="E129" s="127"/>
      <c r="F129" s="127"/>
      <c r="G129" s="127"/>
      <c r="H129" s="127"/>
      <c r="I129" s="127"/>
      <c r="J129" s="171"/>
      <c r="K129" s="127"/>
      <c r="L129" s="127"/>
      <c r="M129" s="117"/>
      <c r="N129" s="114" t="str">
        <f t="shared" si="26"/>
        <v>-</v>
      </c>
      <c r="O129" s="114" t="str">
        <f t="shared" si="25"/>
        <v>-</v>
      </c>
    </row>
    <row r="130" spans="1:15" s="96" customFormat="1" ht="15.75">
      <c r="A130" s="124" t="s">
        <v>133</v>
      </c>
      <c r="B130" s="154" t="s">
        <v>145</v>
      </c>
      <c r="C130" s="124" t="s">
        <v>5</v>
      </c>
      <c r="D130" s="127"/>
      <c r="E130" s="127"/>
      <c r="F130" s="127"/>
      <c r="G130" s="127"/>
      <c r="H130" s="127"/>
      <c r="I130" s="127"/>
      <c r="J130" s="171"/>
      <c r="K130" s="127"/>
      <c r="L130" s="127"/>
      <c r="M130" s="117"/>
      <c r="N130" s="114" t="str">
        <f t="shared" si="26"/>
        <v>-</v>
      </c>
      <c r="O130" s="114" t="str">
        <f t="shared" si="25"/>
        <v>-</v>
      </c>
    </row>
    <row r="131" spans="1:15" s="96" customFormat="1" ht="15" customHeight="1" hidden="1">
      <c r="A131" s="124"/>
      <c r="B131" s="152" t="s">
        <v>58</v>
      </c>
      <c r="C131" s="121" t="s">
        <v>137</v>
      </c>
      <c r="D131" s="127"/>
      <c r="E131" s="127"/>
      <c r="F131" s="127"/>
      <c r="G131" s="127"/>
      <c r="H131" s="127"/>
      <c r="I131" s="127"/>
      <c r="J131" s="171"/>
      <c r="K131" s="127"/>
      <c r="L131" s="127"/>
      <c r="M131" s="117"/>
      <c r="N131" s="114" t="str">
        <f t="shared" si="26"/>
        <v>-</v>
      </c>
      <c r="O131" s="114" t="str">
        <f aca="true" t="shared" si="27" ref="O131:O146">IF(AND(G131&gt;0,L131&gt;0),L131/G131,"-")</f>
        <v>-</v>
      </c>
    </row>
    <row r="132" spans="1:15" s="96" customFormat="1" ht="15" customHeight="1" hidden="1">
      <c r="A132" s="124"/>
      <c r="B132" s="152" t="s">
        <v>59</v>
      </c>
      <c r="C132" s="124" t="s">
        <v>10</v>
      </c>
      <c r="D132" s="127"/>
      <c r="E132" s="127"/>
      <c r="F132" s="127"/>
      <c r="G132" s="127"/>
      <c r="H132" s="127"/>
      <c r="I132" s="127"/>
      <c r="J132" s="171"/>
      <c r="K132" s="127"/>
      <c r="L132" s="127"/>
      <c r="M132" s="117"/>
      <c r="N132" s="114" t="str">
        <f t="shared" si="26"/>
        <v>-</v>
      </c>
      <c r="O132" s="114" t="str">
        <f t="shared" si="27"/>
        <v>-</v>
      </c>
    </row>
    <row r="133" spans="1:15" s="96" customFormat="1" ht="15.75">
      <c r="A133" s="124" t="s">
        <v>134</v>
      </c>
      <c r="B133" s="154" t="s">
        <v>130</v>
      </c>
      <c r="C133" s="124" t="s">
        <v>5</v>
      </c>
      <c r="D133" s="127"/>
      <c r="E133" s="127"/>
      <c r="F133" s="127"/>
      <c r="G133" s="127"/>
      <c r="H133" s="127"/>
      <c r="I133" s="127"/>
      <c r="J133" s="171"/>
      <c r="K133" s="127"/>
      <c r="L133" s="127"/>
      <c r="M133" s="117"/>
      <c r="N133" s="114" t="str">
        <f t="shared" si="26"/>
        <v>-</v>
      </c>
      <c r="O133" s="114" t="str">
        <f t="shared" si="27"/>
        <v>-</v>
      </c>
    </row>
    <row r="134" spans="1:15" s="96" customFormat="1" ht="15" customHeight="1">
      <c r="A134" s="124" t="s">
        <v>135</v>
      </c>
      <c r="B134" s="154" t="s">
        <v>196</v>
      </c>
      <c r="C134" s="124" t="s">
        <v>5</v>
      </c>
      <c r="D134" s="127"/>
      <c r="E134" s="127"/>
      <c r="F134" s="127"/>
      <c r="G134" s="127"/>
      <c r="H134" s="127"/>
      <c r="I134" s="127"/>
      <c r="J134" s="171"/>
      <c r="K134" s="127"/>
      <c r="L134" s="127"/>
      <c r="M134" s="117"/>
      <c r="N134" s="114" t="str">
        <f t="shared" si="26"/>
        <v>-</v>
      </c>
      <c r="O134" s="114" t="str">
        <f t="shared" si="27"/>
        <v>-</v>
      </c>
    </row>
    <row r="135" spans="1:15" s="96" customFormat="1" ht="51.75" customHeight="1">
      <c r="A135" s="124" t="s">
        <v>42</v>
      </c>
      <c r="B135" s="126" t="s">
        <v>164</v>
      </c>
      <c r="C135" s="121" t="s">
        <v>5</v>
      </c>
      <c r="D135" s="122"/>
      <c r="E135" s="122"/>
      <c r="F135" s="159">
        <v>49.412</v>
      </c>
      <c r="G135" s="159">
        <v>49.412</v>
      </c>
      <c r="H135" s="172">
        <v>49.412</v>
      </c>
      <c r="I135" s="172">
        <v>49.412</v>
      </c>
      <c r="J135" s="171"/>
      <c r="K135" s="141">
        <f>H135</f>
        <v>49.412</v>
      </c>
      <c r="L135" s="159">
        <v>49.412</v>
      </c>
      <c r="M135" s="117"/>
      <c r="N135" s="114">
        <f t="shared" si="26"/>
        <v>1</v>
      </c>
      <c r="O135" s="114">
        <f t="shared" si="27"/>
        <v>1</v>
      </c>
    </row>
    <row r="136" spans="1:15" s="96" customFormat="1" ht="15" customHeight="1">
      <c r="A136" s="135" t="s">
        <v>43</v>
      </c>
      <c r="B136" s="136" t="s">
        <v>8</v>
      </c>
      <c r="C136" s="115" t="s">
        <v>5</v>
      </c>
      <c r="D136" s="116">
        <f aca="true" t="shared" si="28" ref="D136:I136">SUM(D137:D139)</f>
        <v>0</v>
      </c>
      <c r="E136" s="116">
        <f t="shared" si="28"/>
        <v>0</v>
      </c>
      <c r="F136" s="116">
        <f t="shared" si="28"/>
        <v>0</v>
      </c>
      <c r="G136" s="116">
        <f t="shared" si="28"/>
        <v>0</v>
      </c>
      <c r="H136" s="116">
        <f t="shared" si="28"/>
        <v>0</v>
      </c>
      <c r="I136" s="116">
        <f t="shared" si="28"/>
        <v>0</v>
      </c>
      <c r="J136" s="117"/>
      <c r="K136" s="116">
        <f>SUM(K137:K139)</f>
        <v>0</v>
      </c>
      <c r="L136" s="116"/>
      <c r="M136" s="117"/>
      <c r="N136" s="114" t="str">
        <f t="shared" si="26"/>
        <v>-</v>
      </c>
      <c r="O136" s="114" t="str">
        <f t="shared" si="27"/>
        <v>-</v>
      </c>
    </row>
    <row r="137" spans="1:15" ht="48" customHeight="1">
      <c r="A137" s="124" t="s">
        <v>101</v>
      </c>
      <c r="B137" s="130" t="s">
        <v>19</v>
      </c>
      <c r="C137" s="106" t="s">
        <v>5</v>
      </c>
      <c r="D137" s="122"/>
      <c r="E137" s="122"/>
      <c r="F137" s="122"/>
      <c r="G137" s="122"/>
      <c r="H137" s="122"/>
      <c r="I137" s="122"/>
      <c r="J137" s="117"/>
      <c r="K137" s="122"/>
      <c r="L137" s="122"/>
      <c r="M137" s="117"/>
      <c r="N137" s="114" t="str">
        <f t="shared" si="26"/>
        <v>-</v>
      </c>
      <c r="O137" s="114" t="str">
        <f t="shared" si="27"/>
        <v>-</v>
      </c>
    </row>
    <row r="138" spans="1:15" ht="105" customHeight="1">
      <c r="A138" s="124" t="s">
        <v>102</v>
      </c>
      <c r="B138" s="130" t="s">
        <v>18</v>
      </c>
      <c r="C138" s="106" t="s">
        <v>5</v>
      </c>
      <c r="D138" s="122"/>
      <c r="E138" s="122"/>
      <c r="F138" s="122"/>
      <c r="G138" s="122"/>
      <c r="H138" s="122"/>
      <c r="I138" s="122"/>
      <c r="J138" s="117"/>
      <c r="K138" s="122"/>
      <c r="L138" s="122"/>
      <c r="M138" s="117"/>
      <c r="N138" s="114" t="str">
        <f t="shared" si="26"/>
        <v>-</v>
      </c>
      <c r="O138" s="114" t="str">
        <f t="shared" si="27"/>
        <v>-</v>
      </c>
    </row>
    <row r="139" spans="1:15" ht="58.5" customHeight="1">
      <c r="A139" s="124" t="s">
        <v>103</v>
      </c>
      <c r="B139" s="130" t="s">
        <v>32</v>
      </c>
      <c r="C139" s="106" t="s">
        <v>5</v>
      </c>
      <c r="D139" s="122"/>
      <c r="E139" s="122"/>
      <c r="F139" s="122"/>
      <c r="G139" s="122"/>
      <c r="H139" s="122"/>
      <c r="I139" s="122"/>
      <c r="J139" s="117"/>
      <c r="K139" s="122"/>
      <c r="L139" s="122"/>
      <c r="M139" s="117"/>
      <c r="N139" s="114" t="str">
        <f t="shared" si="26"/>
        <v>-</v>
      </c>
      <c r="O139" s="114" t="str">
        <f t="shared" si="27"/>
        <v>-</v>
      </c>
    </row>
    <row r="140" spans="1:15" s="96" customFormat="1" ht="29.25" customHeight="1">
      <c r="A140" s="124" t="s">
        <v>44</v>
      </c>
      <c r="B140" s="126" t="s">
        <v>165</v>
      </c>
      <c r="C140" s="124" t="s">
        <v>5</v>
      </c>
      <c r="D140" s="127"/>
      <c r="E140" s="127"/>
      <c r="F140" s="150">
        <v>142.549</v>
      </c>
      <c r="G140" s="150">
        <v>142.549</v>
      </c>
      <c r="H140" s="173">
        <v>147.198</v>
      </c>
      <c r="I140" s="173">
        <f>147.198</f>
        <v>147.198</v>
      </c>
      <c r="J140" s="117"/>
      <c r="K140" s="127">
        <v>147.98</v>
      </c>
      <c r="L140" s="166">
        <v>147.198</v>
      </c>
      <c r="M140" s="117"/>
      <c r="N140" s="114">
        <f t="shared" si="26"/>
        <v>1.0380991799311112</v>
      </c>
      <c r="O140" s="114">
        <f t="shared" si="27"/>
        <v>1.0326133469894563</v>
      </c>
    </row>
    <row r="141" spans="1:15" s="96" customFormat="1" ht="45" customHeight="1">
      <c r="A141" s="124" t="s">
        <v>45</v>
      </c>
      <c r="B141" s="126" t="s">
        <v>198</v>
      </c>
      <c r="C141" s="124" t="s">
        <v>5</v>
      </c>
      <c r="D141" s="127"/>
      <c r="E141" s="127"/>
      <c r="F141" s="127"/>
      <c r="G141" s="127"/>
      <c r="H141" s="127"/>
      <c r="I141" s="127"/>
      <c r="J141" s="117"/>
      <c r="K141" s="127" t="s">
        <v>223</v>
      </c>
      <c r="L141" s="127"/>
      <c r="M141" s="117"/>
      <c r="N141" s="114" t="str">
        <f t="shared" si="26"/>
        <v>-</v>
      </c>
      <c r="O141" s="114" t="str">
        <f t="shared" si="27"/>
        <v>-</v>
      </c>
    </row>
    <row r="142" spans="1:15" s="96" customFormat="1" ht="32.25" customHeight="1">
      <c r="A142" s="124" t="s">
        <v>46</v>
      </c>
      <c r="B142" s="126" t="s">
        <v>197</v>
      </c>
      <c r="C142" s="124" t="s">
        <v>5</v>
      </c>
      <c r="D142" s="127"/>
      <c r="E142" s="127"/>
      <c r="F142" s="127"/>
      <c r="G142" s="127"/>
      <c r="H142" s="127"/>
      <c r="I142" s="127"/>
      <c r="J142" s="117"/>
      <c r="K142" s="127"/>
      <c r="L142" s="127"/>
      <c r="M142" s="117"/>
      <c r="N142" s="114" t="str">
        <f t="shared" si="26"/>
        <v>-</v>
      </c>
      <c r="O142" s="114" t="str">
        <f t="shared" si="27"/>
        <v>-</v>
      </c>
    </row>
    <row r="143" spans="1:15" s="96" customFormat="1" ht="15" customHeight="1">
      <c r="A143" s="115" t="s">
        <v>65</v>
      </c>
      <c r="B143" s="174" t="str">
        <f>IF($C$31="да","Необходимая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43" s="115" t="s">
        <v>5</v>
      </c>
      <c r="D143" s="116">
        <f aca="true" t="shared" si="29" ref="D143:I143">ROUND(D32,1)+ROUND(D135,1)+ROUND(D136,1)+ROUND(D140,1)+ROUND(D141,1)+ROUND(D142,1)</f>
        <v>0</v>
      </c>
      <c r="E143" s="116">
        <f t="shared" si="29"/>
        <v>856.3</v>
      </c>
      <c r="F143" s="116">
        <f t="shared" si="29"/>
        <v>2993.5</v>
      </c>
      <c r="G143" s="116">
        <f t="shared" si="29"/>
        <v>2993.5</v>
      </c>
      <c r="H143" s="175">
        <f t="shared" si="29"/>
        <v>3091.2</v>
      </c>
      <c r="I143" s="175">
        <f t="shared" si="29"/>
        <v>4325.7</v>
      </c>
      <c r="J143" s="117" t="s">
        <v>105</v>
      </c>
      <c r="K143" s="116" t="e">
        <f>ROUND(K32,1)+ROUND(K135,1)+ROUND(K136,1)+ROUND(K140,1)+ROUND(K141,1)+ROUND(K142,1)</f>
        <v>#VALUE!</v>
      </c>
      <c r="L143" s="116">
        <f>ROUND(L32,1)+ROUND(L135,1)+ROUND(L136,1)+ROUND(L140,1)+ROUND(L141,1)+ROUND(L142,1)</f>
        <v>3975</v>
      </c>
      <c r="M143" s="117" t="s">
        <v>105</v>
      </c>
      <c r="N143" s="114" t="e">
        <f t="shared" si="26"/>
        <v>#VALUE!</v>
      </c>
      <c r="O143" s="114">
        <f t="shared" si="27"/>
        <v>1.3278770669784534</v>
      </c>
    </row>
    <row r="144" spans="1:15" s="96" customFormat="1" ht="61.5" customHeight="1">
      <c r="A144" s="115" t="s">
        <v>209</v>
      </c>
      <c r="B144" s="176" t="str">
        <f>IF($C$31="Да","Тариф (без учета НДС)","Тариф (НДС не облагается)")</f>
        <v>Тариф (НДС не облагается)</v>
      </c>
      <c r="C144" s="177" t="s">
        <v>10</v>
      </c>
      <c r="D144" s="178">
        <v>52.79</v>
      </c>
      <c r="E144" s="178" t="e">
        <f>ROUND(E143,1)/ROUND(E14,1)*1000</f>
        <v>#DIV/0!</v>
      </c>
      <c r="F144" s="179">
        <f>ROUND(F143,1)/ROUND(F14,1)*1000</f>
        <v>78.90505561705942</v>
      </c>
      <c r="G144" s="179">
        <f>ROUND(G143,1)/ROUND(G14,1)*1000</f>
        <v>78.90505561705942</v>
      </c>
      <c r="H144" s="180">
        <f>ROUND(H143,1)/ROUND(H14,1)*1000</f>
        <v>81.48030997944014</v>
      </c>
      <c r="I144" s="180">
        <f>ROUND(I143,1)/ROUND(I14,1)*1000</f>
        <v>114.02024355527439</v>
      </c>
      <c r="J144" s="117" t="s">
        <v>201</v>
      </c>
      <c r="K144" s="178" t="e">
        <f>ROUND(K143,1)/ROUND(K14,1)*1000</f>
        <v>#VALUE!</v>
      </c>
      <c r="L144" s="179">
        <f>ROUND(L143,1)/ROUND(L14,1)*1000</f>
        <v>104.77621382255259</v>
      </c>
      <c r="M144" s="117" t="s">
        <v>202</v>
      </c>
      <c r="N144" s="114" t="e">
        <f t="shared" si="26"/>
        <v>#VALUE!</v>
      </c>
      <c r="O144" s="114">
        <f t="shared" si="27"/>
        <v>1.3278770669784532</v>
      </c>
    </row>
    <row r="145" spans="1:15" s="96" customFormat="1" ht="48.75" customHeight="1">
      <c r="A145" s="115" t="s">
        <v>210</v>
      </c>
      <c r="B145" s="176" t="str">
        <f>IF($C$31="Да","Тариф (без учета НДС)","Тариф (НДС не облагается)")</f>
        <v>Тариф (НДС не облагается)</v>
      </c>
      <c r="C145" s="177" t="s">
        <v>166</v>
      </c>
      <c r="D145" s="178" t="e">
        <f aca="true" t="shared" si="30" ref="D145:I145">ROUND(D143,1)/ROUND(D15,1)*1000</f>
        <v>#DIV/0!</v>
      </c>
      <c r="E145" s="178" t="e">
        <f t="shared" si="30"/>
        <v>#DIV/0!</v>
      </c>
      <c r="F145" s="178">
        <f t="shared" si="30"/>
        <v>315.62022246823767</v>
      </c>
      <c r="G145" s="178">
        <f t="shared" si="30"/>
        <v>315.62022246823767</v>
      </c>
      <c r="H145" s="178">
        <f t="shared" si="30"/>
        <v>325.92123991776054</v>
      </c>
      <c r="I145" s="178">
        <f t="shared" si="30"/>
        <v>456.08097422109756</v>
      </c>
      <c r="J145" s="117" t="s">
        <v>203</v>
      </c>
      <c r="K145" s="178" t="e">
        <f>ROUND(K143,1)/ROUND(K15,1)*1000</f>
        <v>#VALUE!</v>
      </c>
      <c r="L145" s="178">
        <f>ROUND(L143,1)/ROUND(L15,1)*1000</f>
        <v>419.10485529021037</v>
      </c>
      <c r="M145" s="117" t="s">
        <v>204</v>
      </c>
      <c r="N145" s="114" t="e">
        <f t="shared" si="26"/>
        <v>#VALUE!</v>
      </c>
      <c r="O145" s="114">
        <f t="shared" si="27"/>
        <v>1.3278770669784532</v>
      </c>
    </row>
    <row r="146" spans="1:15" ht="15" customHeight="1">
      <c r="A146" s="121"/>
      <c r="B146" s="181" t="s">
        <v>9</v>
      </c>
      <c r="C146" s="121" t="s">
        <v>2</v>
      </c>
      <c r="D146" s="121"/>
      <c r="E146" s="121"/>
      <c r="F146" s="145">
        <f>F144/D144</f>
        <v>1.4946970186978485</v>
      </c>
      <c r="G146" s="145"/>
      <c r="H146" s="145">
        <f>H144/F144</f>
        <v>1.0326373809921496</v>
      </c>
      <c r="I146" s="145">
        <f>I144/G144</f>
        <v>1.4450309002839483</v>
      </c>
      <c r="J146" s="182"/>
      <c r="K146" s="145" t="e">
        <f>K144/F144</f>
        <v>#VALUE!</v>
      </c>
      <c r="L146" s="183">
        <f>L144/H144</f>
        <v>1.2859083850931678</v>
      </c>
      <c r="M146" s="182" t="s">
        <v>227</v>
      </c>
      <c r="N146" s="184"/>
      <c r="O146" s="114" t="str">
        <f t="shared" si="27"/>
        <v>-</v>
      </c>
    </row>
    <row r="147" spans="12:13" ht="15.75">
      <c r="L147" s="185">
        <f>L144/F144</f>
        <v>1.3278770669784532</v>
      </c>
      <c r="M147" s="94" t="s">
        <v>226</v>
      </c>
    </row>
    <row r="149" spans="4:9" ht="15.75">
      <c r="D149" s="93">
        <v>52.79</v>
      </c>
      <c r="H149" s="93">
        <v>81.48</v>
      </c>
      <c r="I149" s="93">
        <v>114.02</v>
      </c>
    </row>
    <row r="150" spans="1:12" ht="15.75">
      <c r="A150" s="93" t="s">
        <v>106</v>
      </c>
      <c r="D150" s="186"/>
      <c r="J150" s="237" t="s">
        <v>107</v>
      </c>
      <c r="K150" s="237"/>
      <c r="L150" s="187"/>
    </row>
  </sheetData>
  <sheetProtection/>
  <mergeCells count="29">
    <mergeCell ref="J150:K150"/>
    <mergeCell ref="A22:A23"/>
    <mergeCell ref="B22:B23"/>
    <mergeCell ref="A24:A25"/>
    <mergeCell ref="B24:B25"/>
    <mergeCell ref="A26:A27"/>
    <mergeCell ref="B26:B27"/>
    <mergeCell ref="A14:A16"/>
    <mergeCell ref="B14:B15"/>
    <mergeCell ref="A17:A18"/>
    <mergeCell ref="B17:B18"/>
    <mergeCell ref="A19:A20"/>
    <mergeCell ref="B19:B20"/>
    <mergeCell ref="J9:J11"/>
    <mergeCell ref="M9:M11"/>
    <mergeCell ref="N9:N11"/>
    <mergeCell ref="O9:O11"/>
    <mergeCell ref="D10:E10"/>
    <mergeCell ref="F10:G10"/>
    <mergeCell ref="E3:K3"/>
    <mergeCell ref="F4:J4"/>
    <mergeCell ref="F5:J5"/>
    <mergeCell ref="C6:M6"/>
    <mergeCell ref="C7:M7"/>
    <mergeCell ref="A9:A11"/>
    <mergeCell ref="B9:B11"/>
    <mergeCell ref="C9:C11"/>
    <mergeCell ref="D9:E9"/>
    <mergeCell ref="F9:G9"/>
  </mergeCells>
  <dataValidations count="2">
    <dataValidation type="list" allowBlank="1" showInputMessage="1" showErrorMessage="1" sqref="F4">
      <formula1>"захоронение твердых коммунальных отходов, обработку твердых коммунальных отходов, обезвреживание твердых коммунальных отходов"</formula1>
    </dataValidation>
    <dataValidation type="list" allowBlank="1" showInputMessage="1" showErrorMessage="1" sqref="C31">
      <formula1>"Да, Нет"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ШТВ</cp:lastModifiedBy>
  <cp:lastPrinted>2018-12-18T02:49:47Z</cp:lastPrinted>
  <dcterms:created xsi:type="dcterms:W3CDTF">2013-04-08T06:55:43Z</dcterms:created>
  <dcterms:modified xsi:type="dcterms:W3CDTF">2019-03-16T07:23:14Z</dcterms:modified>
  <cp:category/>
  <cp:version/>
  <cp:contentType/>
  <cp:contentStatus/>
</cp:coreProperties>
</file>