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600" windowWidth="15600" windowHeight="11220" tabRatio="560" activeTab="0"/>
  </bookViews>
  <sheets>
    <sheet name="таб.кор.наша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Татьяна А. Куграшова</author>
  </authors>
  <commentList>
    <comment ref="D12" authorId="0">
      <text>
        <r>
          <rPr>
            <b/>
            <sz val="9"/>
            <rFont val="Tahoma"/>
            <family val="2"/>
          </rPr>
          <t>Реквизиты НПА, которым утверждены тарифы в отношении оператора по обращению с ТКО</t>
        </r>
      </text>
    </comment>
    <comment ref="F12" authorId="0">
      <text>
        <r>
          <rPr>
            <b/>
            <sz val="9"/>
            <rFont val="Tahoma"/>
            <family val="2"/>
          </rPr>
          <t>Реквизиты НПА, которым утверждены тарифы в отношении оператора по обращению с ТКО</t>
        </r>
      </text>
    </comment>
  </commentList>
</comments>
</file>

<file path=xl/sharedStrings.xml><?xml version="1.0" encoding="utf-8"?>
<sst xmlns="http://schemas.openxmlformats.org/spreadsheetml/2006/main" count="484" uniqueCount="273">
  <si>
    <t>план</t>
  </si>
  <si>
    <t>факт</t>
  </si>
  <si>
    <t>%</t>
  </si>
  <si>
    <t>№ п/п</t>
  </si>
  <si>
    <t>Единица
измерений</t>
  </si>
  <si>
    <t>тыс. руб.</t>
  </si>
  <si>
    <t>Текущие расходы</t>
  </si>
  <si>
    <t>индекс потребительских цен</t>
  </si>
  <si>
    <t>Нормативная прибыль</t>
  </si>
  <si>
    <t>Темп роста тарифа</t>
  </si>
  <si>
    <t>руб./куб. м</t>
  </si>
  <si>
    <t>Транспортный налог</t>
  </si>
  <si>
    <t>Земельный налог и арендная плата за землю</t>
  </si>
  <si>
    <t>Налог на имущество организаций</t>
  </si>
  <si>
    <t>Налог на прибыль</t>
  </si>
  <si>
    <t>Неподконтрольные расходы</t>
  </si>
  <si>
    <t>-</t>
  </si>
  <si>
    <t>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</si>
  <si>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</si>
  <si>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Расходы на капитальные вложения (инвестиции), определяемые в соответствии с утвержденными инвестиционными программами</t>
  </si>
  <si>
    <t>индекс эффективности операционных расходов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</si>
  <si>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</si>
  <si>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</si>
  <si>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</si>
  <si>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</si>
  <si>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информационные услуги</t>
  </si>
  <si>
    <t>Служебные командировки</t>
  </si>
  <si>
    <t>Обучение персонала</t>
  </si>
  <si>
    <t>руб./ кВт-ч</t>
  </si>
  <si>
    <t>объем покупной воды</t>
  </si>
  <si>
    <t>тариф на воду</t>
  </si>
  <si>
    <t>куб. м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</si>
  <si>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</si>
  <si>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</si>
  <si>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</si>
  <si>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Численность (среднесписочная) основного производственного персонала, принятая для расчета</t>
  </si>
  <si>
    <t>Страховые взносы от оплаты труда основного производственного персонала</t>
  </si>
  <si>
    <t>Фонд оплаты труда цехового персонала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</si>
  <si>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</si>
  <si>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</si>
  <si>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Страховые взносы от оплаты труда цехового персонала</t>
  </si>
  <si>
    <t>1.</t>
  </si>
  <si>
    <t>2.</t>
  </si>
  <si>
    <t>3.</t>
  </si>
  <si>
    <t>4.</t>
  </si>
  <si>
    <t>5.</t>
  </si>
  <si>
    <t>6.</t>
  </si>
  <si>
    <t>руб./мес.</t>
  </si>
  <si>
    <t>ед.</t>
  </si>
  <si>
    <t>Фонд оплаты труда административного персонала</t>
  </si>
  <si>
    <t>Среднемесячная оплата труда административного персонала</t>
  </si>
  <si>
    <t>Численность (среднесписочная) административного персонала, относимая на регулируемый вид деятельности</t>
  </si>
  <si>
    <t>Страховые взносы от оплаты труда административного персонала</t>
  </si>
  <si>
    <t>объем тепловой энергии</t>
  </si>
  <si>
    <t>тариф на тепловую энергию</t>
  </si>
  <si>
    <t>руб./Гкал</t>
  </si>
  <si>
    <t>объем горячей воды</t>
  </si>
  <si>
    <t>тариф на горячую воду</t>
  </si>
  <si>
    <t>объем услуги водоотведение</t>
  </si>
  <si>
    <t>тариф на водоотведение</t>
  </si>
  <si>
    <t>Единый налог, уплачиваемый организацией, применяющей упрощенную систему налогообложения</t>
  </si>
  <si>
    <t>Наименование показателя</t>
  </si>
  <si>
    <t>Расчет необходимой валовой выручки:</t>
  </si>
  <si>
    <t>Параметры расчета:</t>
  </si>
  <si>
    <t>Является плательщиком НДС (да/нет)</t>
  </si>
  <si>
    <t>7.</t>
  </si>
  <si>
    <t>1.1.</t>
  </si>
  <si>
    <t>1.2.</t>
  </si>
  <si>
    <t>1.3.</t>
  </si>
  <si>
    <t>1.1.1.</t>
  </si>
  <si>
    <t>1.1.2.</t>
  </si>
  <si>
    <t>1.1.3.</t>
  </si>
  <si>
    <t>1.1.1.1.</t>
  </si>
  <si>
    <t>1.1.1.2.</t>
  </si>
  <si>
    <t>1.1.1.3.</t>
  </si>
  <si>
    <t>1.1.1.3.1.</t>
  </si>
  <si>
    <t>Расходы на оплату труда и страховые взносы производственного персонала,
в том числе:</t>
  </si>
  <si>
    <t>1.1.1.3.2.</t>
  </si>
  <si>
    <t>1.1.1.3.3.</t>
  </si>
  <si>
    <t>1.1.1.3.4.</t>
  </si>
  <si>
    <t>1.1.1.4.</t>
  </si>
  <si>
    <t>1.1.1.5.</t>
  </si>
  <si>
    <t>Общехозяйственные расходы</t>
  </si>
  <si>
    <t>Расходы на оплату труда и отчисления на социальные нужды ремонтного персонала</t>
  </si>
  <si>
    <t>Страховые взносы от оплаты труда ремонтного персонала</t>
  </si>
  <si>
    <t>1.1.2.1.</t>
  </si>
  <si>
    <t>1.1.2.2.</t>
  </si>
  <si>
    <t>1.1.2.3.</t>
  </si>
  <si>
    <t>1.1.2.4.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</si>
  <si>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</si>
  <si>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</si>
  <si>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1.1.3.1.</t>
  </si>
  <si>
    <t>1.1.3.2.</t>
  </si>
  <si>
    <t>1.1.3.3.</t>
  </si>
  <si>
    <t>Производственные расходы</t>
  </si>
  <si>
    <t>1.2.1.</t>
  </si>
  <si>
    <t>1.2.2.</t>
  </si>
  <si>
    <t>1.2.3.</t>
  </si>
  <si>
    <t>1.3.1.</t>
  </si>
  <si>
    <t>1.3.2.</t>
  </si>
  <si>
    <t>1.3.3.</t>
  </si>
  <si>
    <t>3.1.</t>
  </si>
  <si>
    <t>3.2.</t>
  </si>
  <si>
    <t>3.3.</t>
  </si>
  <si>
    <t>По нижеприведенным основаниям.</t>
  </si>
  <si>
    <t>По вышеприведенным основаниям.</t>
  </si>
  <si>
    <t>Ответственный за подготовку экспертного заключения</t>
  </si>
  <si>
    <t>Рост по отношению к базовому периоду, %</t>
  </si>
  <si>
    <t>1.2.4.</t>
  </si>
  <si>
    <t>Сбытовые расходы</t>
  </si>
  <si>
    <t>1.2.5.</t>
  </si>
  <si>
    <t>1.2.6.</t>
  </si>
  <si>
    <t>1.2.7.</t>
  </si>
  <si>
    <t>1.2.2.1.</t>
  </si>
  <si>
    <t>1.2.2.2.</t>
  </si>
  <si>
    <t>1.2.2.3.</t>
  </si>
  <si>
    <t>1.2.2.4.</t>
  </si>
  <si>
    <t>1.2.2.5.</t>
  </si>
  <si>
    <t>1.2.2.6.</t>
  </si>
  <si>
    <t>НН</t>
  </si>
  <si>
    <t>СН1</t>
  </si>
  <si>
    <t>СН2</t>
  </si>
  <si>
    <t>ВН</t>
  </si>
  <si>
    <t>Объем покупной энергии:</t>
  </si>
  <si>
    <t>Тариф на электрическую энергию:</t>
  </si>
  <si>
    <t>Мощность:</t>
  </si>
  <si>
    <t>ГН</t>
  </si>
  <si>
    <t>Ставка за мощность:</t>
  </si>
  <si>
    <t>Расходы на природный газ</t>
  </si>
  <si>
    <t>1.3.4.</t>
  </si>
  <si>
    <t>1.3.5.</t>
  </si>
  <si>
    <t>1.3.6.</t>
  </si>
  <si>
    <t>1.3.7.</t>
  </si>
  <si>
    <t>1.3.8.</t>
  </si>
  <si>
    <t>тыс. Гкал</t>
  </si>
  <si>
    <t>тыс. куб.м</t>
  </si>
  <si>
    <t>тыс. кВт-ч</t>
  </si>
  <si>
    <t>МВт</t>
  </si>
  <si>
    <t>руб./ МВт</t>
  </si>
  <si>
    <t>Расходы на покупку электрической мощности:</t>
  </si>
  <si>
    <t>Расходы на покупку электрической энергии:</t>
  </si>
  <si>
    <t>Расходы на тепловую энергию:</t>
  </si>
  <si>
    <t>Расходы на горячую воду:</t>
  </si>
  <si>
    <t>Расходы на водоотведение:</t>
  </si>
  <si>
    <t>Расходы на холодную воду:</t>
  </si>
  <si>
    <t>Прочие административные расходы</t>
  </si>
  <si>
    <t>Административные расходы:</t>
  </si>
  <si>
    <t>ожид</t>
  </si>
  <si>
    <t>тонн</t>
  </si>
  <si>
    <t>в пределах норматива по накоплению</t>
  </si>
  <si>
    <t>сверх норматива по накоплению</t>
  </si>
  <si>
    <t>Расчет объема (массы) твердых коммунальных отходов:</t>
  </si>
  <si>
    <t>Расчетный объем (масса) твердых коммунальных отходов:</t>
  </si>
  <si>
    <t>По видам твердых коммунальных отходов:</t>
  </si>
  <si>
    <t>2.1.</t>
  </si>
  <si>
    <t>2.2.</t>
  </si>
  <si>
    <t>сортированные</t>
  </si>
  <si>
    <t>несортированные</t>
  </si>
  <si>
    <t>крупногабаритные отходы</t>
  </si>
  <si>
    <t>Темп изменения образования твердых коммунальных отходов</t>
  </si>
  <si>
    <t>Средняя плотность твердых коммунальных отходов</t>
  </si>
  <si>
    <t>тонн/куб. м</t>
  </si>
  <si>
    <t xml:space="preserve">Расходы на амортизацию основных средств и нематериальных активов
</t>
  </si>
  <si>
    <t>Расчетная предпринимательская прибыль</t>
  </si>
  <si>
    <t>руб./тонну</t>
  </si>
  <si>
    <t>Операционные (подконтрольные) расходы</t>
  </si>
  <si>
    <t>Расходы на приобретение (производство) энергетических ресурсов</t>
  </si>
  <si>
    <t>захоронение твердых коммунальных отходов</t>
  </si>
  <si>
    <t>Расходы на оплату выполняемых сторонними организациями или индивидуальными предпринимателями работ и (или) услуг, связанных с эксплуатацией объектов, используемых для обработки, обезвреживания, захоронения твердых коммунальных отходов</t>
  </si>
  <si>
    <t>Расходы на текущий ремонт объектов, используемых для обработки, обезвреживания, захоронения твердых коммунальных отходов</t>
  </si>
  <si>
    <t>Расходы на капитальный ремонт объектов, используемых для обработки, обезвреживания, захоронения твердых коммунальных отходов</t>
  </si>
  <si>
    <t>Расходы на амортизацию непроизводственных активов</t>
  </si>
  <si>
    <t>Расходы на оплату товаров, работ и (или) услуг, поставляемых и (или) выполняемых по договорам сторонними организациями или индивидуальными предпринимателями:</t>
  </si>
  <si>
    <t>услуги вневедомственной охраны</t>
  </si>
  <si>
    <t>другие</t>
  </si>
  <si>
    <t>1.1.3.4.</t>
  </si>
  <si>
    <t>1.1.3.5.</t>
  </si>
  <si>
    <t>1.1.3.6.</t>
  </si>
  <si>
    <t>1.1.3.7.</t>
  </si>
  <si>
    <t>1.1.3.8.</t>
  </si>
  <si>
    <t>1.1.3.9.</t>
  </si>
  <si>
    <t>сырье и материалы</t>
  </si>
  <si>
    <t>горюче-смазочные материалы</t>
  </si>
  <si>
    <t>материалы и малоценные основные средства</t>
  </si>
  <si>
    <t>Расходы на приобретение сырья и материалов и их хранение:</t>
  </si>
  <si>
    <t>Ремонтные расходы:</t>
  </si>
  <si>
    <t>1.2.2.7.</t>
  </si>
  <si>
    <t>Расходы на обязательное страхование, предусмотренные законодательными актами РФ</t>
  </si>
  <si>
    <t>Расходы на уплату налогов, сборов и других обязательных платежей:</t>
  </si>
  <si>
    <t>Арендная плата, лизинговые платежи, не связанные с арендой (лизингом) объектов, используемых для обработки, обезвреживания, захоронения твердых коммунальных отходов</t>
  </si>
  <si>
    <t>Расходы на арендную плату, концессионную плату и лизинговые платежи в отношении объектов, используемых для обработки, обезвреживания, захоронения твердых коммунальных отходов</t>
  </si>
  <si>
    <t>Расходы на выплаты по договорам займа и кредитным договорам, включая возврат сумм основного долга и процентов по ним</t>
  </si>
  <si>
    <t>Расходы на плату за негативное воздействие на окружающую среду при размещении твердых коммунальных отходов</t>
  </si>
  <si>
    <t>Расходы на оплату товаров, работ и услуг других операторов по обращению с твердыми коммунальными отходами</t>
  </si>
  <si>
    <t>Расходы на иные виды топлива</t>
  </si>
  <si>
    <t>Величина изменения необходимой валовой выручки, производимого в целях сглаживания тарифов</t>
  </si>
  <si>
    <t>Обоснование причин и ссылки на правовые нормы, на основании которых органом регулирования проведен расчет объема (массы) твердых коммунальных отходов, а также принято решение об исключении из расчета тарифов экономически не обоснованных расходов, учтенных регулируемой организацией в предложении об установлении тарифов</t>
  </si>
  <si>
    <t>Представлено оператором по обращению с твердыми коммунальными отходами в качестве обоснования</t>
  </si>
  <si>
    <t>Определен исходя из заявленной необходимой валовой выручки и объема твердых коммунальных отходов.</t>
  </si>
  <si>
    <t>Определен исходя из принятой необходимой валовой выручки и объема твердых коммунальных отходов.</t>
  </si>
  <si>
    <t>Определен исходя из заявленной необходимой валовой выручки и массы твердых коммунальных отходов.</t>
  </si>
  <si>
    <t>Определен исходя из принятой необходимой валовой выручки и массы твердых коммунальных отходов.</t>
  </si>
  <si>
    <t>(наименование оператора по обращению с твердыми коммунальными отходами)</t>
  </si>
  <si>
    <t>Расходы на обязательное страхование производственных объектов в случаях, предусмотренных законодательством РФ, страхование ответственности концессионера, частного партнера, в случаях, предусмотренных соответствующими соглашениями, а также расходов на страхование рисков гибели объектов, создаваемых по таким соглашениям</t>
  </si>
  <si>
    <t>Расчет тарифа методом индексации (корректировка) на</t>
  </si>
  <si>
    <t>8.</t>
  </si>
  <si>
    <t>9.</t>
  </si>
  <si>
    <t>Прочие производственные расходы, непосредственно связанные с эксплуатацией объектов, используемых для обработки, обезвреживания, захоронения твердых коммунальных отходов</t>
  </si>
  <si>
    <t>Заявлено оператором по обращению с твердыми коммунальными отходами</t>
  </si>
  <si>
    <t>Учтено органом регулирования</t>
  </si>
  <si>
    <t>Долгосрочный параметр регулирования в соответствии с п. 56 Основ ценообразования.</t>
  </si>
  <si>
    <t>Проверка (п.3 = п.2)</t>
  </si>
  <si>
    <t>Проверка (p=m/V)</t>
  </si>
  <si>
    <t>на 2020 год</t>
  </si>
  <si>
    <t>Да</t>
  </si>
  <si>
    <t>ИЦП (обеспечение электрической энергией, газом и паром; кондиционирование воздуха)</t>
  </si>
  <si>
    <t>Согласно базовому варианту Прогноза социально-экономического развития РФ на период до 2024 года по состоянию на октябрь 2019 года (далее - Прогноз).</t>
  </si>
  <si>
    <t>1.2.8.</t>
  </si>
  <si>
    <t>Экономия расходов</t>
  </si>
  <si>
    <t>Результаты деятельности до перехода к регулированию цен (тарифов) на основе долгосрочных параметров регулирования (при установлении тарифов на 1 и 2 годы первого долгосрочного периода регулирования)</t>
  </si>
  <si>
    <t>Корректировка НВВ с учетом степени исполнения регулируемой организацией обязательств, определяемая в соответствии с п. 50 Методических указаний</t>
  </si>
  <si>
    <t>Корректировка с целью учета отклонения фактических значений параметров расчета тарифов от значений, учтенных при установлении тарифов (начиная с 3-го года первого долгосрочного периода регулирования), определяемая в соответствии с п. 48 Методических указаний.</t>
  </si>
  <si>
    <t>Корректировка НВВ с учетом отклонения показателя ввода и вывода объектов, используемых для обработки, обезвреживания, захоронения твердых коммунальных отходов, и изменения утвержденной в установленном порядке инвестиционной программы, определяемая в соответствии с п. 49 Методических указаний</t>
  </si>
  <si>
    <t>10.</t>
  </si>
  <si>
    <t>11.</t>
  </si>
  <si>
    <t>12.</t>
  </si>
  <si>
    <t>Определены в соответствии с п. 47 Основ ценообразования, п. 30 и п. 45 Методических указаний путем индексации установленного базового уровня операционных расходов.</t>
  </si>
  <si>
    <t>0,25/0,214</t>
  </si>
  <si>
    <t>см.выше</t>
  </si>
  <si>
    <t>Расходы признаны экономически обоснованными.Сумма транспортного налога учтена пропорционально предполагаемого объема по ТКО на 2019 год</t>
  </si>
  <si>
    <t>По итогам анализа  представленных материалов,расходы признаны экономически обоснованными и приняты по предложению предприятия в полном объеме.</t>
  </si>
  <si>
    <t>Расходы признаны экономически обоснованными.Плата за выбросы загрязняющих веществ расчитана пропорционально объемам ТКО без учета повышающего коэффициента 2,0</t>
  </si>
  <si>
    <t>Предоставлено обоснование учета отклонения фактических значений параметров расчета на 2 год регулирования тарифов, от значений учтенных при установлении тарифов ранее (п.48 Метод.указаний)</t>
  </si>
  <si>
    <t>Расходы признаны экономически обоснованными.Обоснование на компенсацию расходов не учтенных органом регулирования тарифов в прошлые периоды были предоставлены ранее, на данном этапе проведена корректировка согласно предполагаемых объемов ТКО на 2019 год</t>
  </si>
  <si>
    <t>Представлен расчет численности, расстановка численности рабочих и руководства на участке по захоронению ТКО, штатное расписание</t>
  </si>
  <si>
    <t xml:space="preserve">По итогам анализа представленных материалов, расходы признаны экономически обоснованными в размере пересчитанном  в отношении заложенной в тариф зар.платы (30,3%) </t>
  </si>
  <si>
    <t>Уведомление ФСС РФ о размере страховых взносов на страхование от несчастных случаев</t>
  </si>
  <si>
    <t>Расчет факт.численности</t>
  </si>
  <si>
    <t>Плановая выручка по утвержденным тарифам на 2018 год согласно фактических объемов составила 1285,2 тыс.руб., фактические затраты за 2018 год 1642,7 тыс.руб.,корректировка в соотв.п.48 Метод.указаний 357,5 тыс.руб.</t>
  </si>
  <si>
    <t>В качестве обоснования представлены обосновывающие материалы оператором по обращению с твердыми коммунальными отходами за 9 мес.2019 года</t>
  </si>
  <si>
    <t>Объемы приняты на уровне утвержденного планового показателя на 2019 год на основании п.21 Основ ценообразования в области обращения с  ТКО</t>
  </si>
  <si>
    <t>Расходы признаны экономически обоснованными.Сумма арендной платы расчитана на основании уведомления КУМИ и решения Думы Братского района,с применением принятых коэф.арендной платы зем.участков, п.35 Метод.указаний, п.58 В) Основ ценообразования в области обращения с ТКО</t>
  </si>
  <si>
    <t>Расходы признаны экономически обоснованными.Плата за негативное воздействие на окружающую среду расчитана на основании ПП РФ от 13.09.2016г №913 с применением коэф.1,04 (п.2 ПП РФ от 29.06.2018г №758)</t>
  </si>
  <si>
    <t>всего арендная плата на основании письма КУМИ  с 01.01.2019г 692,1 в год   692,1/ 58900 объем общий предполагаемый * 37938 предполагаемый объем ТКО</t>
  </si>
  <si>
    <t>на 2019г плата за выбросы была учтена с повышающим коэф 2, его убрали . Фактически за выбросы должны заплатить                 50,1 / 58900 объем общий предполагаемый * 37938 предполагаемый объем ТКО</t>
  </si>
  <si>
    <t>всего сумма расходов 2019г план          225,1/ 58900 объем общий предполагаемый * 37938 предполагаемый объем ТКО</t>
  </si>
  <si>
    <t>плановая сумма ставки 18 руб (5класс КГО)*95 руб(4 класс)</t>
  </si>
  <si>
    <t>план 2019г      49,4 / 58900 объем общий предполагаемый * 37938 предполагаемый объем ТКО</t>
  </si>
  <si>
    <t>план всего сумма транспортного налога  5,7/ 58900 объем общий предполагаемый * 37938 предполагаемый объем ТКО</t>
  </si>
  <si>
    <t>Расходы признаны экономически обоснованными.Обоснование расходов  были предоставлены ранее, на данном этапе проведена корректировка согласно индексу потребительских цен.</t>
  </si>
  <si>
    <t>В.В.Елина</t>
  </si>
  <si>
    <t xml:space="preserve">ЭКСПЕРТНОЕ ЗАКЛЮЧЕНИЕ </t>
  </si>
  <si>
    <t>по корректировке тарифа на захоронение ТКО на 2020 год для ООО "НАШ ГОРОД"</t>
  </si>
  <si>
    <r>
      <t xml:space="preserve">Прочие налоги и сборы </t>
    </r>
    <r>
      <rPr>
        <b/>
        <sz val="12"/>
        <rFont val="Times New Roman"/>
        <family val="1"/>
      </rPr>
      <t>(плата за выбросы)</t>
    </r>
  </si>
  <si>
    <t>план 2019г 30,6*4%</t>
  </si>
  <si>
    <t>план 2019г *4%</t>
  </si>
  <si>
    <t xml:space="preserve">Представлен расчет общехозяйственных расходов, </t>
  </si>
  <si>
    <t>план 2019г*4%</t>
  </si>
  <si>
    <t>ИСПРАВИЛА ВРУЧНУЮ</t>
  </si>
  <si>
    <t>(операц 1843,5+земля 445,8+тран нал 3,6+прочие выброс 32,3+экон обоснов 145+негатив573,9+амортиз 31,8)+6%/2=</t>
  </si>
  <si>
    <t>(операц1829,3+земля 445,8+тран нал 3,6+прочие выброс 32,3+экон обоснов 145+негатив 573,9+амортиз 31,8)+6%/2</t>
  </si>
  <si>
    <t>(операц.1843,5+ земля445,79+ тран.нал. 3,64 + проч.выбросы 32,27 + экон.обоснов144,97 + негатив.573,9 + амортиз.31,83 + усно 92,3)*5%</t>
  </si>
  <si>
    <t>Представлен расчет заявленной величины. В расчет принята среднемесячная заработная плата, расчитанная в соответствии с приказами предприятия об утверждении ставки рабочего 1 разряда и тарифной сетки с применением тарифных разрядов согласно штатного расписания. Также в расчете представлен процент премирования, закрепленный в положении об оплате труда.Районный коэф.принят в соответствии с пост.Госкомтруда СССР ВЦСПС от 04.09.1964 №380/П18 в размере 1,3,северные надбавки-в соотв. с Указом Президиума ВС СССР от 10.02.1980</t>
  </si>
  <si>
    <t>(операц.1829,345+ земля 445,8+ тран.нал. 3,6 + проч.выбросы 32,3 + экон.обоснов 145 + негатив.573,9 + амортиз.31,8 + усно 91,9 )+5%</t>
  </si>
  <si>
    <t>Прил.№2 к протоколу №3 от 13.12.2019 г</t>
  </si>
  <si>
    <t xml:space="preserve">По итогам анализа представленных материалов, расходы признаны экономически обоснованными в размере минимальной заработной платы утвержденной с 01.01.2020 года. </t>
  </si>
  <si>
    <t xml:space="preserve">Заявленная численность принята на основании фактически сложившихся параметров. На данном этапе проведена корректировка согласно предъявленному штатному расписанию оператора </t>
  </si>
  <si>
    <t xml:space="preserve"> В расчет принята среднемесячная заработная плата, расчитанная в соответствии с приказами предприятия об утверждении ставки рабочего 1 разряда и тарифной сетки с применением тарифных разрядов согласно штатного расписания. Также в расчете представлен процент премирования, закрепленный в положении об оплате труда.Районный коэф.принят в соответствии с пост.Госкомтруда СССР ВЦСПС от 04.09.1964 №380/П18 в размере 1,3,северные надбавки-в соотв. с Указом Президиума ВС СССР от 10.02.1980</t>
  </si>
  <si>
    <t xml:space="preserve"> Расходы признаны экономически обоснованными.Обоснование расходов   предоставлено, на основании фактически сложившихся объемов.</t>
  </si>
  <si>
    <t>Расходы признаны экономически обоснованными.Сумма налога принята на основании НК, методических указаний и Основ ценообразования в области обращения с ТКО.</t>
  </si>
  <si>
    <t>Расходы признаны экономически обоснованными.Сумма прибыли принята на основании  методических указаний и Основ ценообразования в области обращения с ТКО.</t>
  </si>
  <si>
    <t>Единый налог, уплачиваемый организацией, применяющей упрощенную систему налогообложения расчитан на основании НК</t>
  </si>
  <si>
    <t>Эксперное заключение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</si>
</sst>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0.0"/>
    <numFmt numFmtId="167" formatCode="#,##0.00_ ;\-#,##0.00\ "/>
    <numFmt numFmtId="168" formatCode="#,##0.0_ ;\-#,##0.0\ "/>
    <numFmt numFmtId="169" formatCode="#,##0_ ;\-#,##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68" fontId="2" fillId="33" borderId="0" xfId="59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65" fontId="7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7" fillId="13" borderId="11" xfId="0" applyFont="1" applyFill="1" applyBorder="1" applyAlignment="1" applyProtection="1">
      <alignment horizontal="center" vertical="center"/>
      <protection/>
    </xf>
    <xf numFmtId="168" fontId="7" fillId="13" borderId="11" xfId="59" applyNumberFormat="1" applyFont="1" applyFill="1" applyBorder="1" applyAlignment="1" applyProtection="1">
      <alignment horizontal="center" vertical="center"/>
      <protection/>
    </xf>
    <xf numFmtId="168" fontId="7" fillId="33" borderId="11" xfId="59" applyNumberFormat="1" applyFont="1" applyFill="1" applyBorder="1" applyAlignment="1" applyProtection="1">
      <alignment horizontal="center" vertical="center"/>
      <protection/>
    </xf>
    <xf numFmtId="168" fontId="7" fillId="0" borderId="11" xfId="59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7" borderId="10" xfId="0" applyFont="1" applyFill="1" applyBorder="1" applyAlignment="1" applyProtection="1">
      <alignment vertical="center" wrapText="1"/>
      <protection locked="0"/>
    </xf>
    <xf numFmtId="0" fontId="7" fillId="7" borderId="11" xfId="0" applyFont="1" applyFill="1" applyBorder="1" applyAlignment="1" applyProtection="1">
      <alignment horizontal="center" vertical="center"/>
      <protection/>
    </xf>
    <xf numFmtId="166" fontId="7" fillId="7" borderId="11" xfId="56" applyNumberFormat="1" applyFont="1" applyFill="1" applyBorder="1" applyAlignment="1" applyProtection="1">
      <alignment horizontal="center" vertical="center"/>
      <protection/>
    </xf>
    <xf numFmtId="166" fontId="7" fillId="33" borderId="11" xfId="56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168" fontId="7" fillId="0" borderId="11" xfId="59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168" fontId="7" fillId="0" borderId="11" xfId="59" applyNumberFormat="1" applyFont="1" applyFill="1" applyBorder="1" applyAlignment="1" applyProtection="1">
      <alignment horizontal="center" vertical="center"/>
      <protection locked="0"/>
    </xf>
    <xf numFmtId="168" fontId="7" fillId="33" borderId="11" xfId="59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13" borderId="11" xfId="0" applyFont="1" applyFill="1" applyBorder="1" applyAlignment="1" applyProtection="1">
      <alignment horizontal="center" vertical="center"/>
      <protection locked="0"/>
    </xf>
    <xf numFmtId="0" fontId="7" fillId="13" borderId="11" xfId="0" applyFont="1" applyFill="1" applyBorder="1" applyAlignment="1" applyProtection="1">
      <alignment horizontal="left" vertical="center"/>
      <protection locked="0"/>
    </xf>
    <xf numFmtId="168" fontId="7" fillId="13" borderId="14" xfId="59" applyNumberFormat="1" applyFont="1" applyFill="1" applyBorder="1" applyAlignment="1" applyProtection="1">
      <alignment horizontal="center" vertical="center"/>
      <protection/>
    </xf>
    <xf numFmtId="168" fontId="7" fillId="33" borderId="14" xfId="59" applyNumberFormat="1" applyFont="1" applyFill="1" applyBorder="1" applyAlignment="1" applyProtection="1">
      <alignment horizontal="center" vertical="center"/>
      <protection/>
    </xf>
    <xf numFmtId="168" fontId="7" fillId="0" borderId="14" xfId="59" applyNumberFormat="1" applyFont="1" applyFill="1" applyBorder="1" applyAlignment="1" applyProtection="1">
      <alignment horizontal="left" vertical="top" wrapText="1"/>
      <protection locked="0"/>
    </xf>
    <xf numFmtId="16" fontId="7" fillId="13" borderId="11" xfId="0" applyNumberFormat="1" applyFont="1" applyFill="1" applyBorder="1" applyAlignment="1" applyProtection="1">
      <alignment horizontal="center" vertical="center"/>
      <protection locked="0"/>
    </xf>
    <xf numFmtId="0" fontId="7" fillId="13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 indent="2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165" fontId="7" fillId="33" borderId="11" xfId="56" applyNumberFormat="1" applyFont="1" applyFill="1" applyBorder="1" applyAlignment="1" applyProtection="1">
      <alignment horizontal="center" vertical="center"/>
      <protection/>
    </xf>
    <xf numFmtId="165" fontId="7" fillId="0" borderId="11" xfId="56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 wrapText="1" indent="2"/>
      <protection locked="0"/>
    </xf>
    <xf numFmtId="168" fontId="7" fillId="0" borderId="11" xfId="59" applyNumberFormat="1" applyFont="1" applyFill="1" applyBorder="1" applyAlignment="1" applyProtection="1">
      <alignment horizontal="left" vertical="center"/>
      <protection/>
    </xf>
    <xf numFmtId="0" fontId="7" fillId="13" borderId="11" xfId="0" applyFont="1" applyFill="1" applyBorder="1" applyAlignment="1" applyProtection="1">
      <alignment horizontal="left" vertical="center" wrapText="1" indent="1"/>
      <protection locked="0"/>
    </xf>
    <xf numFmtId="168" fontId="7" fillId="13" borderId="11" xfId="59" applyNumberFormat="1" applyFont="1" applyFill="1" applyBorder="1" applyAlignment="1" applyProtection="1">
      <alignment horizontal="center" vertical="center"/>
      <protection locked="0"/>
    </xf>
    <xf numFmtId="168" fontId="7" fillId="10" borderId="11" xfId="59" applyNumberFormat="1" applyFont="1" applyFill="1" applyBorder="1" applyAlignment="1" applyProtection="1">
      <alignment horizontal="center" vertical="center"/>
      <protection locked="0"/>
    </xf>
    <xf numFmtId="168" fontId="7" fillId="7" borderId="11" xfId="59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 wrapText="1" indent="1"/>
      <protection locked="0"/>
    </xf>
    <xf numFmtId="168" fontId="7" fillId="0" borderId="11" xfId="59" applyNumberFormat="1" applyFont="1" applyFill="1" applyBorder="1" applyAlignment="1" applyProtection="1">
      <alignment horizontal="center" vertical="center" wrapText="1"/>
      <protection locked="0"/>
    </xf>
    <xf numFmtId="168" fontId="7" fillId="33" borderId="11" xfId="59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 indent="3"/>
      <protection locked="0"/>
    </xf>
    <xf numFmtId="2" fontId="7" fillId="33" borderId="11" xfId="0" applyNumberFormat="1" applyFont="1" applyFill="1" applyBorder="1" applyAlignment="1">
      <alignment vertical="center" wrapText="1"/>
    </xf>
    <xf numFmtId="166" fontId="7" fillId="33" borderId="11" xfId="0" applyNumberFormat="1" applyFont="1" applyFill="1" applyBorder="1" applyAlignment="1">
      <alignment vertical="center" wrapText="1"/>
    </xf>
    <xf numFmtId="168" fontId="7" fillId="7" borderId="11" xfId="59" applyNumberFormat="1" applyFont="1" applyFill="1" applyBorder="1" applyAlignment="1" applyProtection="1">
      <alignment horizontal="center" vertical="center"/>
      <protection locked="0"/>
    </xf>
    <xf numFmtId="168" fontId="7" fillId="33" borderId="11" xfId="59" applyNumberFormat="1" applyFont="1" applyFill="1" applyBorder="1" applyAlignment="1" applyProtection="1">
      <alignment horizontal="left" vertical="center" wrapText="1"/>
      <protection locked="0"/>
    </xf>
    <xf numFmtId="168" fontId="7" fillId="10" borderId="11" xfId="59" applyNumberFormat="1" applyFont="1" applyFill="1" applyBorder="1" applyAlignment="1" applyProtection="1">
      <alignment horizontal="center" vertical="center"/>
      <protection/>
    </xf>
    <xf numFmtId="14" fontId="7" fillId="1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left" vertical="center" wrapText="1" indent="1"/>
      <protection locked="0"/>
    </xf>
    <xf numFmtId="168" fontId="7" fillId="33" borderId="11" xfId="59" applyNumberFormat="1" applyFont="1" applyFill="1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13" borderId="11" xfId="0" applyFont="1" applyFill="1" applyBorder="1" applyAlignment="1" applyProtection="1">
      <alignment horizontal="left" vertical="center"/>
      <protection/>
    </xf>
    <xf numFmtId="0" fontId="6" fillId="13" borderId="11" xfId="0" applyFont="1" applyFill="1" applyBorder="1" applyAlignment="1" applyProtection="1">
      <alignment horizontal="left" vertical="center"/>
      <protection/>
    </xf>
    <xf numFmtId="0" fontId="6" fillId="13" borderId="11" xfId="0" applyFont="1" applyFill="1" applyBorder="1" applyAlignment="1" applyProtection="1">
      <alignment horizontal="center" vertical="center"/>
      <protection/>
    </xf>
    <xf numFmtId="167" fontId="6" fillId="13" borderId="11" xfId="59" applyNumberFormat="1" applyFont="1" applyFill="1" applyBorder="1" applyAlignment="1" applyProtection="1">
      <alignment horizontal="center" vertical="center"/>
      <protection/>
    </xf>
    <xf numFmtId="167" fontId="6" fillId="33" borderId="11" xfId="59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10" fontId="7" fillId="0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2" fontId="7" fillId="0" borderId="0" xfId="0" applyNumberFormat="1" applyFont="1" applyAlignment="1" applyProtection="1">
      <alignment/>
      <protection locked="0"/>
    </xf>
    <xf numFmtId="168" fontId="7" fillId="34" borderId="11" xfId="59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13" borderId="10" xfId="0" applyFont="1" applyFill="1" applyBorder="1" applyAlignment="1" applyProtection="1">
      <alignment horizontal="left" vertical="center" wrapText="1"/>
      <protection locked="0"/>
    </xf>
    <xf numFmtId="0" fontId="7" fillId="13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wrapText="1" indent="1"/>
      <protection locked="0"/>
    </xf>
    <xf numFmtId="0" fontId="7" fillId="0" borderId="14" xfId="0" applyFont="1" applyFill="1" applyBorder="1" applyAlignment="1" applyProtection="1">
      <alignment horizontal="left" vertical="center" wrapText="1" indent="1"/>
      <protection locked="0"/>
    </xf>
    <xf numFmtId="168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168" fontId="7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" fillId="13" borderId="10" xfId="0" applyFont="1" applyFill="1" applyBorder="1" applyAlignment="1" applyProtection="1">
      <alignment horizontal="center" vertical="center"/>
      <protection locked="0"/>
    </xf>
    <xf numFmtId="0" fontId="7" fillId="13" borderId="16" xfId="0" applyFont="1" applyFill="1" applyBorder="1" applyAlignment="1" applyProtection="1">
      <alignment horizontal="center" vertical="center"/>
      <protection locked="0"/>
    </xf>
    <xf numFmtId="0" fontId="7" fillId="13" borderId="14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zoomScalePageLayoutView="0" workbookViewId="0" topLeftCell="A8">
      <selection activeCell="M16" sqref="M16"/>
    </sheetView>
  </sheetViews>
  <sheetFormatPr defaultColWidth="0.875" defaultRowHeight="12.75"/>
  <cols>
    <col min="1" max="1" width="8.25390625" style="1" customWidth="1"/>
    <col min="2" max="2" width="40.375" style="1" customWidth="1"/>
    <col min="3" max="3" width="12.875" style="1" customWidth="1"/>
    <col min="4" max="6" width="14.125" style="1" hidden="1" customWidth="1"/>
    <col min="7" max="7" width="14.125" style="14" hidden="1" customWidth="1"/>
    <col min="8" max="8" width="13.875" style="1" customWidth="1"/>
    <col min="9" max="9" width="35.75390625" style="2" customWidth="1"/>
    <col min="10" max="10" width="17.625" style="1" customWidth="1"/>
    <col min="11" max="11" width="31.25390625" style="2" customWidth="1"/>
    <col min="12" max="12" width="10.00390625" style="2" customWidth="1"/>
    <col min="13" max="13" width="37.00390625" style="1" customWidth="1"/>
    <col min="14" max="14" width="5.875" style="1" customWidth="1"/>
    <col min="15" max="16384" width="0.875" style="1" customWidth="1"/>
  </cols>
  <sheetData>
    <row r="1" spans="7:12" s="4" customFormat="1" ht="18.75" customHeight="1" hidden="1">
      <c r="G1" s="13"/>
      <c r="I1" s="6"/>
      <c r="K1" s="6"/>
      <c r="L1" s="7"/>
    </row>
    <row r="2" spans="7:12" s="4" customFormat="1" ht="18.75" customHeight="1" hidden="1">
      <c r="G2" s="13"/>
      <c r="I2" s="6"/>
      <c r="K2" s="6"/>
      <c r="L2" s="6"/>
    </row>
    <row r="3" spans="2:13" s="8" customFormat="1" ht="18.75" customHeight="1" hidden="1">
      <c r="B3" s="9"/>
      <c r="C3" s="9"/>
      <c r="D3" s="9"/>
      <c r="E3" s="117" t="s">
        <v>204</v>
      </c>
      <c r="F3" s="117"/>
      <c r="G3" s="117"/>
      <c r="H3" s="117"/>
      <c r="I3" s="117"/>
      <c r="J3" s="117"/>
      <c r="K3" s="9"/>
      <c r="L3" s="9"/>
      <c r="M3" s="9"/>
    </row>
    <row r="4" spans="2:13" s="3" customFormat="1" ht="18.75" customHeight="1" hidden="1">
      <c r="B4" s="9"/>
      <c r="C4" s="9"/>
      <c r="D4" s="9"/>
      <c r="E4" s="9"/>
      <c r="F4" s="117" t="s">
        <v>167</v>
      </c>
      <c r="G4" s="117"/>
      <c r="H4" s="117"/>
      <c r="I4" s="117"/>
      <c r="J4" s="9"/>
      <c r="K4" s="9"/>
      <c r="L4" s="9"/>
      <c r="M4" s="9"/>
    </row>
    <row r="5" spans="2:13" s="3" customFormat="1" ht="18.75" customHeight="1" hidden="1">
      <c r="B5" s="10"/>
      <c r="C5" s="10"/>
      <c r="D5" s="10"/>
      <c r="E5" s="10"/>
      <c r="F5" s="118" t="s">
        <v>213</v>
      </c>
      <c r="G5" s="118"/>
      <c r="H5" s="118"/>
      <c r="I5" s="118"/>
      <c r="J5" s="10"/>
      <c r="K5" s="10"/>
      <c r="L5" s="10"/>
      <c r="M5" s="10"/>
    </row>
    <row r="6" spans="1:13" s="4" customFormat="1" ht="18.75" customHeight="1" hidden="1">
      <c r="A6" s="9"/>
      <c r="B6" s="10"/>
      <c r="C6" s="119"/>
      <c r="D6" s="119"/>
      <c r="E6" s="119"/>
      <c r="F6" s="119"/>
      <c r="G6" s="119"/>
      <c r="H6" s="119"/>
      <c r="I6" s="119"/>
      <c r="J6" s="119"/>
      <c r="K6" s="119"/>
      <c r="L6" s="10"/>
      <c r="M6" s="10"/>
    </row>
    <row r="7" spans="2:13" s="4" customFormat="1" ht="18.75" customHeight="1" hidden="1">
      <c r="B7" s="11"/>
      <c r="C7" s="120" t="s">
        <v>202</v>
      </c>
      <c r="D7" s="120"/>
      <c r="E7" s="120"/>
      <c r="F7" s="120"/>
      <c r="G7" s="120"/>
      <c r="H7" s="120"/>
      <c r="I7" s="120"/>
      <c r="J7" s="120"/>
      <c r="K7" s="120"/>
      <c r="L7" s="11"/>
      <c r="M7" s="11"/>
    </row>
    <row r="8" spans="2:13" s="4" customFormat="1" ht="25.5">
      <c r="B8" s="11"/>
      <c r="C8" s="15"/>
      <c r="D8" s="15"/>
      <c r="E8" s="15"/>
      <c r="F8" s="15"/>
      <c r="G8" s="15"/>
      <c r="H8" s="15"/>
      <c r="I8" s="15"/>
      <c r="K8" s="106" t="s">
        <v>264</v>
      </c>
      <c r="L8" s="11"/>
      <c r="M8" s="11"/>
    </row>
    <row r="9" spans="2:13" s="4" customFormat="1" ht="15.75" customHeight="1">
      <c r="B9" s="11"/>
      <c r="C9" s="104"/>
      <c r="D9" s="124" t="s">
        <v>251</v>
      </c>
      <c r="E9" s="124"/>
      <c r="F9" s="124"/>
      <c r="G9" s="124"/>
      <c r="H9" s="124" t="s">
        <v>272</v>
      </c>
      <c r="I9" s="124"/>
      <c r="J9" s="124"/>
      <c r="K9" s="104"/>
      <c r="L9" s="105"/>
      <c r="M9" s="11"/>
    </row>
    <row r="10" spans="2:13" s="4" customFormat="1" ht="15.75">
      <c r="B10" s="11"/>
      <c r="C10" s="105" t="s">
        <v>252</v>
      </c>
      <c r="D10" s="105"/>
      <c r="E10" s="105"/>
      <c r="F10" s="105"/>
      <c r="G10" s="105"/>
      <c r="H10" s="105"/>
      <c r="I10" s="104"/>
      <c r="J10" s="104"/>
      <c r="K10" s="104"/>
      <c r="L10" s="105"/>
      <c r="M10" s="11"/>
    </row>
    <row r="11" spans="7:12" s="8" customFormat="1" ht="12.75">
      <c r="G11" s="13"/>
      <c r="I11" s="12"/>
      <c r="K11" s="12"/>
      <c r="L11" s="12"/>
    </row>
    <row r="12" spans="1:12" ht="110.25">
      <c r="A12" s="107" t="s">
        <v>3</v>
      </c>
      <c r="B12" s="110" t="s">
        <v>61</v>
      </c>
      <c r="C12" s="107" t="s">
        <v>4</v>
      </c>
      <c r="D12" s="113"/>
      <c r="E12" s="114"/>
      <c r="F12" s="113"/>
      <c r="G12" s="114"/>
      <c r="H12" s="17" t="s">
        <v>208</v>
      </c>
      <c r="I12" s="107" t="s">
        <v>197</v>
      </c>
      <c r="J12" s="17" t="s">
        <v>209</v>
      </c>
      <c r="K12" s="121" t="s">
        <v>196</v>
      </c>
      <c r="L12" s="107" t="s">
        <v>107</v>
      </c>
    </row>
    <row r="13" spans="1:12" ht="15.75">
      <c r="A13" s="108"/>
      <c r="B13" s="111"/>
      <c r="C13" s="108"/>
      <c r="D13" s="113">
        <v>2018</v>
      </c>
      <c r="E13" s="114"/>
      <c r="F13" s="113">
        <v>2019</v>
      </c>
      <c r="G13" s="114"/>
      <c r="H13" s="18">
        <v>2020</v>
      </c>
      <c r="I13" s="108"/>
      <c r="J13" s="18">
        <v>2020</v>
      </c>
      <c r="K13" s="122"/>
      <c r="L13" s="108"/>
    </row>
    <row r="14" spans="1:12" ht="15.75">
      <c r="A14" s="109"/>
      <c r="B14" s="112"/>
      <c r="C14" s="109"/>
      <c r="D14" s="19" t="s">
        <v>0</v>
      </c>
      <c r="E14" s="19" t="s">
        <v>1</v>
      </c>
      <c r="F14" s="19" t="s">
        <v>0</v>
      </c>
      <c r="G14" s="20" t="s">
        <v>147</v>
      </c>
      <c r="H14" s="18" t="s">
        <v>0</v>
      </c>
      <c r="I14" s="109"/>
      <c r="J14" s="18" t="s">
        <v>0</v>
      </c>
      <c r="K14" s="123"/>
      <c r="L14" s="109"/>
    </row>
    <row r="15" spans="1:12" ht="15.75">
      <c r="A15" s="21"/>
      <c r="B15" s="22" t="s">
        <v>151</v>
      </c>
      <c r="C15" s="23"/>
      <c r="D15" s="24"/>
      <c r="E15" s="24"/>
      <c r="F15" s="24"/>
      <c r="G15" s="25"/>
      <c r="H15" s="24"/>
      <c r="I15" s="23"/>
      <c r="J15" s="24"/>
      <c r="K15" s="23"/>
      <c r="L15" s="23"/>
    </row>
    <row r="16" spans="1:12" ht="31.5">
      <c r="A16" s="26" t="s">
        <v>41</v>
      </c>
      <c r="B16" s="27" t="s">
        <v>160</v>
      </c>
      <c r="C16" s="28" t="s">
        <v>161</v>
      </c>
      <c r="D16" s="29">
        <v>0.25</v>
      </c>
      <c r="E16" s="29" t="s">
        <v>227</v>
      </c>
      <c r="F16" s="29">
        <v>0.25</v>
      </c>
      <c r="G16" s="30" t="s">
        <v>227</v>
      </c>
      <c r="H16" s="29"/>
      <c r="I16" s="31"/>
      <c r="J16" s="29">
        <v>0.25</v>
      </c>
      <c r="K16" s="31"/>
      <c r="L16" s="32">
        <f>IF(AND(F16&gt;0,J16&gt;0),J16/F16,"-")</f>
        <v>1</v>
      </c>
    </row>
    <row r="17" spans="1:12" s="5" customFormat="1" ht="94.5">
      <c r="A17" s="132" t="s">
        <v>42</v>
      </c>
      <c r="B17" s="115" t="s">
        <v>152</v>
      </c>
      <c r="C17" s="33" t="s">
        <v>31</v>
      </c>
      <c r="D17" s="34">
        <f aca="true" t="shared" si="0" ref="D17:F18">ROUND(D20,1)+ROUND(D22,1)</f>
        <v>37938</v>
      </c>
      <c r="E17" s="34">
        <f t="shared" si="0"/>
        <v>19146</v>
      </c>
      <c r="F17" s="34">
        <f t="shared" si="0"/>
        <v>37938</v>
      </c>
      <c r="G17" s="35">
        <v>37938</v>
      </c>
      <c r="H17" s="34">
        <v>37938</v>
      </c>
      <c r="I17" s="36" t="s">
        <v>239</v>
      </c>
      <c r="J17" s="34">
        <v>37938</v>
      </c>
      <c r="K17" s="37" t="s">
        <v>240</v>
      </c>
      <c r="L17" s="32">
        <f>IF(AND(F17&gt;0,J17&gt;0),J17/F17,"-")</f>
        <v>1</v>
      </c>
    </row>
    <row r="18" spans="1:12" s="5" customFormat="1" ht="15.75">
      <c r="A18" s="133"/>
      <c r="B18" s="116"/>
      <c r="C18" s="33" t="s">
        <v>148</v>
      </c>
      <c r="D18" s="34">
        <f t="shared" si="0"/>
        <v>9484.5</v>
      </c>
      <c r="E18" s="34">
        <f t="shared" si="0"/>
        <v>4499</v>
      </c>
      <c r="F18" s="34">
        <f t="shared" si="0"/>
        <v>9484.5</v>
      </c>
      <c r="G18" s="35">
        <v>9484.5</v>
      </c>
      <c r="H18" s="34">
        <v>9484.5</v>
      </c>
      <c r="I18" s="36"/>
      <c r="J18" s="34">
        <v>9484.5</v>
      </c>
      <c r="K18" s="36"/>
      <c r="L18" s="32">
        <f>IF(AND(F18&gt;0,J18&gt;0),J18/F18,"-")</f>
        <v>1</v>
      </c>
    </row>
    <row r="19" spans="1:12" s="5" customFormat="1" ht="15.75">
      <c r="A19" s="134"/>
      <c r="B19" s="38" t="s">
        <v>212</v>
      </c>
      <c r="C19" s="39"/>
      <c r="D19" s="40">
        <f>IF(AND(ROUND(D16,2)=ROUND((D18/D17),2),D16&gt;0),"","Ошибка1")</f>
      </c>
      <c r="E19" s="40" t="e">
        <f aca="true" t="shared" si="1" ref="E19:J19">IF(AND(ROUND(E16,2)=ROUND((E18/E17),2),E16&gt;0),"","Ошибка1")</f>
        <v>#VALUE!</v>
      </c>
      <c r="F19" s="40">
        <f t="shared" si="1"/>
      </c>
      <c r="G19" s="41" t="e">
        <f>IF(AND(ROUND(G16,2)=ROUND((G18/G17),2),G16&gt;0),"","Ошибка1")</f>
        <v>#VALUE!</v>
      </c>
      <c r="H19" s="40" t="str">
        <f t="shared" si="1"/>
        <v>Ошибка1</v>
      </c>
      <c r="I19" s="36"/>
      <c r="J19" s="40">
        <f t="shared" si="1"/>
      </c>
      <c r="K19" s="36"/>
      <c r="L19" s="32"/>
    </row>
    <row r="20" spans="1:12" s="5" customFormat="1" ht="94.5">
      <c r="A20" s="126" t="s">
        <v>154</v>
      </c>
      <c r="B20" s="128" t="s">
        <v>149</v>
      </c>
      <c r="C20" s="42" t="s">
        <v>31</v>
      </c>
      <c r="D20" s="43">
        <v>37938</v>
      </c>
      <c r="E20" s="43">
        <v>19146</v>
      </c>
      <c r="F20" s="35">
        <v>37938</v>
      </c>
      <c r="G20" s="35">
        <v>37938</v>
      </c>
      <c r="H20" s="43">
        <v>37938</v>
      </c>
      <c r="I20" s="36" t="s">
        <v>239</v>
      </c>
      <c r="J20" s="43">
        <v>37938</v>
      </c>
      <c r="K20" s="37" t="s">
        <v>240</v>
      </c>
      <c r="L20" s="32">
        <f>IF(AND(F20&gt;0,J20&gt;0),J20/F20,"-")</f>
        <v>1</v>
      </c>
    </row>
    <row r="21" spans="1:12" ht="15.75">
      <c r="A21" s="127"/>
      <c r="B21" s="129"/>
      <c r="C21" s="45" t="s">
        <v>148</v>
      </c>
      <c r="D21" s="43">
        <v>9484.5</v>
      </c>
      <c r="E21" s="43">
        <v>4499</v>
      </c>
      <c r="F21" s="35">
        <v>9484.5</v>
      </c>
      <c r="G21" s="35">
        <v>9484.5</v>
      </c>
      <c r="H21" s="43">
        <f>H18</f>
        <v>9484.5</v>
      </c>
      <c r="I21" s="36" t="s">
        <v>228</v>
      </c>
      <c r="J21" s="43">
        <v>9484.5</v>
      </c>
      <c r="K21" s="36" t="s">
        <v>228</v>
      </c>
      <c r="L21" s="32">
        <f>IF(AND(F21&gt;0,J21&gt;0),J21/F21,"-")</f>
        <v>1</v>
      </c>
    </row>
    <row r="22" spans="1:12" s="5" customFormat="1" ht="15.75">
      <c r="A22" s="126" t="s">
        <v>155</v>
      </c>
      <c r="B22" s="128" t="s">
        <v>150</v>
      </c>
      <c r="C22" s="42" t="s">
        <v>31</v>
      </c>
      <c r="D22" s="43"/>
      <c r="E22" s="43"/>
      <c r="F22" s="35"/>
      <c r="G22" s="35"/>
      <c r="H22" s="43"/>
      <c r="I22" s="36"/>
      <c r="J22" s="43"/>
      <c r="K22" s="36"/>
      <c r="L22" s="32" t="str">
        <f>IF(AND(F22&gt;0,J22&gt;0),J22/F22,"-")</f>
        <v>-</v>
      </c>
    </row>
    <row r="23" spans="1:12" s="5" customFormat="1" ht="15.75">
      <c r="A23" s="127"/>
      <c r="B23" s="129"/>
      <c r="C23" s="45" t="s">
        <v>148</v>
      </c>
      <c r="D23" s="43"/>
      <c r="E23" s="43"/>
      <c r="F23" s="35"/>
      <c r="G23" s="35"/>
      <c r="H23" s="43"/>
      <c r="I23" s="36"/>
      <c r="J23" s="43"/>
      <c r="K23" s="36"/>
      <c r="L23" s="32" t="str">
        <f>IF(AND(F23&gt;0,J23&gt;0),J23/F23,"-")</f>
        <v>-</v>
      </c>
    </row>
    <row r="24" spans="1:12" s="5" customFormat="1" ht="15.75">
      <c r="A24" s="44" t="s">
        <v>43</v>
      </c>
      <c r="B24" s="46" t="s">
        <v>153</v>
      </c>
      <c r="C24" s="45"/>
      <c r="D24" s="43"/>
      <c r="E24" s="43"/>
      <c r="F24" s="35"/>
      <c r="G24" s="35"/>
      <c r="H24" s="43"/>
      <c r="I24" s="36"/>
      <c r="J24" s="43"/>
      <c r="K24" s="36"/>
      <c r="L24" s="32" t="str">
        <f>IF(AND(F24&gt;0,J24&gt;0),J24/F24,"-")</f>
        <v>-</v>
      </c>
    </row>
    <row r="25" spans="1:12" s="5" customFormat="1" ht="15.75">
      <c r="A25" s="126" t="s">
        <v>101</v>
      </c>
      <c r="B25" s="128" t="s">
        <v>156</v>
      </c>
      <c r="C25" s="42" t="s">
        <v>31</v>
      </c>
      <c r="D25" s="43">
        <v>37938</v>
      </c>
      <c r="E25" s="43">
        <v>19146</v>
      </c>
      <c r="F25" s="35">
        <v>37938</v>
      </c>
      <c r="G25" s="35">
        <v>37938</v>
      </c>
      <c r="H25" s="43"/>
      <c r="I25" s="36" t="s">
        <v>228</v>
      </c>
      <c r="J25" s="43"/>
      <c r="K25" s="36" t="s">
        <v>228</v>
      </c>
      <c r="L25" s="32" t="str">
        <f>IF(AND(F25&gt;0,J25&gt;0),J25/F25,"-")</f>
        <v>-</v>
      </c>
    </row>
    <row r="26" spans="1:12" s="5" customFormat="1" ht="15.75">
      <c r="A26" s="127"/>
      <c r="B26" s="129"/>
      <c r="C26" s="45" t="s">
        <v>148</v>
      </c>
      <c r="D26" s="43">
        <v>9484.5</v>
      </c>
      <c r="E26" s="43">
        <v>4499</v>
      </c>
      <c r="F26" s="35">
        <v>9484.5</v>
      </c>
      <c r="G26" s="35">
        <f>G21</f>
        <v>9484.5</v>
      </c>
      <c r="H26" s="43"/>
      <c r="I26" s="36" t="s">
        <v>228</v>
      </c>
      <c r="J26" s="43"/>
      <c r="K26" s="36" t="s">
        <v>228</v>
      </c>
      <c r="L26" s="32" t="str">
        <f>IF(AND(F26&gt;0,J26&gt;0),J26/F26,"-")</f>
        <v>-</v>
      </c>
    </row>
    <row r="27" spans="1:12" s="5" customFormat="1" ht="94.5">
      <c r="A27" s="126" t="s">
        <v>102</v>
      </c>
      <c r="B27" s="128" t="s">
        <v>157</v>
      </c>
      <c r="C27" s="42" t="s">
        <v>31</v>
      </c>
      <c r="D27" s="43"/>
      <c r="E27" s="43">
        <v>11154</v>
      </c>
      <c r="F27" s="35"/>
      <c r="G27" s="35">
        <v>28363</v>
      </c>
      <c r="H27" s="43">
        <v>23188</v>
      </c>
      <c r="I27" s="36" t="s">
        <v>239</v>
      </c>
      <c r="J27" s="43">
        <v>37938</v>
      </c>
      <c r="K27" s="37"/>
      <c r="L27" s="32" t="str">
        <f>IF(AND(F27&gt;0,J27&gt;0),J27/F27,"-")</f>
        <v>-</v>
      </c>
    </row>
    <row r="28" spans="1:12" s="5" customFormat="1" ht="15.75">
      <c r="A28" s="127"/>
      <c r="B28" s="129"/>
      <c r="C28" s="45" t="s">
        <v>148</v>
      </c>
      <c r="D28" s="43"/>
      <c r="E28" s="43">
        <v>2789</v>
      </c>
      <c r="F28" s="35"/>
      <c r="G28" s="35">
        <v>7091</v>
      </c>
      <c r="H28" s="43">
        <v>5797</v>
      </c>
      <c r="I28" s="36" t="s">
        <v>228</v>
      </c>
      <c r="J28" s="43">
        <f>J27*0.25</f>
        <v>9484.5</v>
      </c>
      <c r="K28" s="36"/>
      <c r="L28" s="32" t="str">
        <f>IF(AND(F28&gt;0,J28&gt;0),J28/F28,"-")</f>
        <v>-</v>
      </c>
    </row>
    <row r="29" spans="1:12" s="5" customFormat="1" ht="94.5">
      <c r="A29" s="126" t="s">
        <v>103</v>
      </c>
      <c r="B29" s="128" t="s">
        <v>158</v>
      </c>
      <c r="C29" s="42" t="s">
        <v>31</v>
      </c>
      <c r="D29" s="43"/>
      <c r="E29" s="43">
        <v>7992</v>
      </c>
      <c r="F29" s="35"/>
      <c r="G29" s="35">
        <v>8750</v>
      </c>
      <c r="H29" s="43">
        <v>14750</v>
      </c>
      <c r="I29" s="36" t="s">
        <v>239</v>
      </c>
      <c r="J29" s="43"/>
      <c r="K29" s="37"/>
      <c r="L29" s="32" t="str">
        <f>IF(AND(F29&gt;0,J29&gt;0),J29/F29,"-")</f>
        <v>-</v>
      </c>
    </row>
    <row r="30" spans="1:12" s="5" customFormat="1" ht="15.75">
      <c r="A30" s="127"/>
      <c r="B30" s="129"/>
      <c r="C30" s="45" t="s">
        <v>148</v>
      </c>
      <c r="D30" s="43"/>
      <c r="E30" s="43">
        <v>1710</v>
      </c>
      <c r="F30" s="35"/>
      <c r="G30" s="35">
        <v>1872</v>
      </c>
      <c r="H30" s="43">
        <v>3156.5</v>
      </c>
      <c r="I30" s="36" t="s">
        <v>228</v>
      </c>
      <c r="J30" s="43"/>
      <c r="K30" s="36"/>
      <c r="L30" s="32" t="str">
        <f>IF(AND(F30&gt;0,J30&gt;0),J30/F30,"-")</f>
        <v>-</v>
      </c>
    </row>
    <row r="31" spans="1:12" s="5" customFormat="1" ht="15.75">
      <c r="A31" s="44"/>
      <c r="B31" s="38" t="s">
        <v>211</v>
      </c>
      <c r="C31" s="44"/>
      <c r="D31" s="40">
        <f>IF(AND(D17=ROUND((D25+D27+D29),1),D18=ROUND((D26+D28+D30),1)),"","Ошибка2")</f>
      </c>
      <c r="E31" s="40" t="str">
        <f>IF(AND(E17=ROUND((E25+E27+E29),1),E18=ROUND((E26+E28+E30),1)),"","Ошибка2")</f>
        <v>Ошибка2</v>
      </c>
      <c r="F31" s="40">
        <f>IF(AND(F17=ROUND((F25+F27+F29),1),F18=ROUND((F26+F28+F30),1)),"","Ошибка2")</f>
      </c>
      <c r="G31" s="41" t="str">
        <f>IF(AND(G17=ROUND((G25+G27+G29),1),G18=ROUND((G26+G28+G30),1)),"","Ошибка2")</f>
        <v>Ошибка2</v>
      </c>
      <c r="H31" s="40" t="str">
        <f>IF(AND(H17=ROUND((H25+H27+H29),1),H18=ROUND((H26+H28+H30),1)),"","Ошибка2")</f>
        <v>Ошибка2</v>
      </c>
      <c r="I31" s="36"/>
      <c r="J31" s="40">
        <f>IF(AND(J17=ROUND((J25+J27+J29),1),J18=ROUND((J26+J28+J30),1)),"","Ошибка2")</f>
      </c>
      <c r="K31" s="36"/>
      <c r="L31" s="32"/>
    </row>
    <row r="32" spans="1:12" ht="31.5">
      <c r="A32" s="45" t="s">
        <v>44</v>
      </c>
      <c r="B32" s="47" t="s">
        <v>159</v>
      </c>
      <c r="C32" s="45" t="s">
        <v>2</v>
      </c>
      <c r="D32" s="48"/>
      <c r="E32" s="48"/>
      <c r="F32" s="35"/>
      <c r="G32" s="49"/>
      <c r="H32" s="48"/>
      <c r="I32" s="36"/>
      <c r="J32" s="43"/>
      <c r="K32" s="36"/>
      <c r="L32" s="32" t="str">
        <f>IF(AND(F32&gt;0,J32&gt;0),J32/F32,"-")</f>
        <v>-</v>
      </c>
    </row>
    <row r="33" spans="1:12" ht="15.75">
      <c r="A33" s="50"/>
      <c r="B33" s="22" t="s">
        <v>62</v>
      </c>
      <c r="C33" s="23"/>
      <c r="D33" s="51"/>
      <c r="E33" s="51"/>
      <c r="F33" s="35"/>
      <c r="G33" s="52"/>
      <c r="H33" s="51"/>
      <c r="I33" s="51"/>
      <c r="J33" s="51"/>
      <c r="K33" s="51"/>
      <c r="L33" s="32" t="str">
        <f>IF(AND(F33&gt;0,J33&gt;0),J33/F33,"-")</f>
        <v>-</v>
      </c>
    </row>
    <row r="34" spans="1:12" ht="15.75">
      <c r="A34" s="50"/>
      <c r="B34" s="53" t="s">
        <v>64</v>
      </c>
      <c r="C34" s="54" t="s">
        <v>214</v>
      </c>
      <c r="D34" s="55"/>
      <c r="E34" s="56"/>
      <c r="F34" s="35"/>
      <c r="G34" s="57"/>
      <c r="H34" s="56"/>
      <c r="I34" s="58"/>
      <c r="J34" s="56"/>
      <c r="K34" s="58"/>
      <c r="L34" s="32" t="str">
        <f>IF(AND(F34&gt;0,J34&gt;0),J34/F34,"-")</f>
        <v>-</v>
      </c>
    </row>
    <row r="35" spans="1:12" s="5" customFormat="1" ht="31.5">
      <c r="A35" s="59" t="s">
        <v>41</v>
      </c>
      <c r="B35" s="60" t="s">
        <v>6</v>
      </c>
      <c r="C35" s="33" t="s">
        <v>5</v>
      </c>
      <c r="D35" s="61">
        <f>ROUND(D36,1)+ROUND(D100,1)+ROUND(D84,1)</f>
        <v>2801.5</v>
      </c>
      <c r="E35" s="61">
        <f>ROUND(E36,1)+ROUND(E100,1)+ROUND(E84,1)</f>
        <v>1539.5</v>
      </c>
      <c r="F35" s="61">
        <f>ROUND(F36,1)+ROUND(F100,1)+ROUND(F84,1)</f>
        <v>3329.2999999999997</v>
      </c>
      <c r="G35" s="62">
        <f>ROUND(G36,1)+ROUND(G100,1)+ROUND(G84,1)</f>
        <v>3475.6000000000004</v>
      </c>
      <c r="H35" s="61">
        <f>ROUND(H36,1)+ROUND(H100,1)+ROUND(H84,1)</f>
        <v>3136.4</v>
      </c>
      <c r="I35" s="63" t="s">
        <v>104</v>
      </c>
      <c r="J35" s="61">
        <f>ROUND(J36,1)+ROUND(J100,1)+ROUND(J84,1)</f>
        <v>3117.7</v>
      </c>
      <c r="K35" s="63" t="s">
        <v>104</v>
      </c>
      <c r="L35" s="32">
        <f>IF(AND(F35&gt;0,J35&gt;0),J35/F35,"-")</f>
        <v>0.9364430961463371</v>
      </c>
    </row>
    <row r="36" spans="1:12" s="5" customFormat="1" ht="94.5">
      <c r="A36" s="64" t="s">
        <v>66</v>
      </c>
      <c r="B36" s="65" t="s">
        <v>165</v>
      </c>
      <c r="C36" s="33" t="s">
        <v>5</v>
      </c>
      <c r="D36" s="34">
        <f>ROUND(D41,1)+ROUND(D58,1)+ROUND(D65,1)</f>
        <v>2123.2</v>
      </c>
      <c r="E36" s="34">
        <f>ROUND(E41,1)+ROUND(E58,1)+ROUND(E65,1)</f>
        <v>993.6</v>
      </c>
      <c r="F36" s="34">
        <f>ROUND(F41,1)+ROUND(F58,1)+ROUND(F65,1)</f>
        <v>2369.2</v>
      </c>
      <c r="G36" s="35">
        <f>ROUND(G41,1)+ROUND(G58,1)+ROUND(G65,1)</f>
        <v>2182.8999999999996</v>
      </c>
      <c r="H36" s="34">
        <f>ROUND(H41,1)+ROUND(H58,1)+ROUND(H65,1)</f>
        <v>1843.5000000000002</v>
      </c>
      <c r="I36" s="36"/>
      <c r="J36" s="34">
        <f>ROUND(J41,1)+ROUND(J58,1)+ROUND(J65,1)</f>
        <v>1825.4</v>
      </c>
      <c r="K36" s="36" t="s">
        <v>226</v>
      </c>
      <c r="L36" s="32">
        <f>IF(AND(F36&gt;0,J36&gt;0),J36/F36,"-")</f>
        <v>0.7704710450785076</v>
      </c>
    </row>
    <row r="37" spans="1:12" s="5" customFormat="1" ht="15.75">
      <c r="A37" s="45"/>
      <c r="B37" s="66" t="s">
        <v>63</v>
      </c>
      <c r="C37" s="42"/>
      <c r="D37" s="43"/>
      <c r="E37" s="43"/>
      <c r="F37" s="35"/>
      <c r="G37" s="35"/>
      <c r="H37" s="43"/>
      <c r="I37" s="36"/>
      <c r="J37" s="43"/>
      <c r="K37" s="36"/>
      <c r="L37" s="32" t="str">
        <f>IF(AND(F37&gt;0,J37&gt;0),J37/F37,"-")</f>
        <v>-</v>
      </c>
    </row>
    <row r="38" spans="1:12" s="5" customFormat="1" ht="47.25">
      <c r="A38" s="45"/>
      <c r="B38" s="67" t="s">
        <v>20</v>
      </c>
      <c r="C38" s="68" t="s">
        <v>2</v>
      </c>
      <c r="D38" s="43">
        <v>0.01</v>
      </c>
      <c r="E38" s="43" t="s">
        <v>16</v>
      </c>
      <c r="F38" s="69">
        <v>0.01</v>
      </c>
      <c r="G38" s="69">
        <v>0.01</v>
      </c>
      <c r="H38" s="43"/>
      <c r="I38" s="36"/>
      <c r="J38" s="70">
        <v>0.01</v>
      </c>
      <c r="K38" s="36" t="s">
        <v>210</v>
      </c>
      <c r="L38" s="32">
        <f>IF(AND(F38&gt;0,J38&gt;0),J38/F38,"-")</f>
        <v>1</v>
      </c>
    </row>
    <row r="39" spans="1:12" s="5" customFormat="1" ht="15.75">
      <c r="A39" s="45"/>
      <c r="B39" s="67" t="s">
        <v>7</v>
      </c>
      <c r="C39" s="68" t="s">
        <v>2</v>
      </c>
      <c r="D39" s="70">
        <v>1.037</v>
      </c>
      <c r="E39" s="70">
        <v>1.029</v>
      </c>
      <c r="F39" s="69">
        <v>1.047</v>
      </c>
      <c r="G39" s="69">
        <v>1.047</v>
      </c>
      <c r="H39" s="43"/>
      <c r="I39" s="36"/>
      <c r="J39" s="70">
        <v>1.03</v>
      </c>
      <c r="K39" s="130" t="s">
        <v>216</v>
      </c>
      <c r="L39" s="32">
        <f>IF(AND(F39&gt;0,J39&gt;0),J39/F39,"-")</f>
        <v>0.9837631327602675</v>
      </c>
    </row>
    <row r="40" spans="1:12" s="5" customFormat="1" ht="31.5">
      <c r="A40" s="45"/>
      <c r="B40" s="71" t="s">
        <v>215</v>
      </c>
      <c r="C40" s="68" t="s">
        <v>2</v>
      </c>
      <c r="D40" s="70">
        <v>1.039</v>
      </c>
      <c r="E40" s="70">
        <v>1.039</v>
      </c>
      <c r="F40" s="69">
        <v>1.054</v>
      </c>
      <c r="G40" s="69">
        <v>1.054</v>
      </c>
      <c r="H40" s="43"/>
      <c r="I40" s="36"/>
      <c r="J40" s="70">
        <v>1.048</v>
      </c>
      <c r="K40" s="131"/>
      <c r="L40" s="32"/>
    </row>
    <row r="41" spans="1:12" s="5" customFormat="1" ht="15.75">
      <c r="A41" s="64" t="s">
        <v>69</v>
      </c>
      <c r="B41" s="65" t="s">
        <v>94</v>
      </c>
      <c r="C41" s="33" t="s">
        <v>5</v>
      </c>
      <c r="D41" s="34">
        <f>ROUND(D42,1)+ROUND(D46,1)+ROUND(D47,1)+ROUND(D56,1)+ROUND(D57,1)</f>
        <v>2073.3</v>
      </c>
      <c r="E41" s="34">
        <f>ROUND(E42,1)+ROUND(E46,1)+ROUND(E47,1)+ROUND(E56,1)+ROUND(E57,1)</f>
        <v>920.2</v>
      </c>
      <c r="F41" s="34">
        <f>ROUND(F42,1)+ROUND(F46,1)+ROUND(F47,1)+ROUND(F56,1)+ROUND(F57,1)</f>
        <v>2317.6</v>
      </c>
      <c r="G41" s="35">
        <f>ROUND(G42,1)+ROUND(G46,1)+ROUND(G47,1)+ROUND(G56,1)+ROUND(G57,1)</f>
        <v>2137.6</v>
      </c>
      <c r="H41" s="34">
        <f>ROUND(H42,1)+ROUND(H46,1)+ROUND(H47,1)+ROUND(H56,1)+ROUND(H57,1)</f>
        <v>1789.9</v>
      </c>
      <c r="I41" s="72" t="s">
        <v>104</v>
      </c>
      <c r="J41" s="34">
        <f>ROUND(J42,1)+ROUND(J46,1)+ROUND(J47,1)+ROUND(J56,1)+ROUND(J57,1)</f>
        <v>1772.7</v>
      </c>
      <c r="K41" s="72" t="s">
        <v>104</v>
      </c>
      <c r="L41" s="32">
        <f>IF(AND(F41&gt;0,J41&gt;0),J41/F41,"-")</f>
        <v>0.7648860890576459</v>
      </c>
    </row>
    <row r="42" spans="1:12" ht="31.5">
      <c r="A42" s="59" t="s">
        <v>72</v>
      </c>
      <c r="B42" s="73" t="s">
        <v>184</v>
      </c>
      <c r="C42" s="59" t="s">
        <v>5</v>
      </c>
      <c r="D42" s="74">
        <f>SUM(D43:D45)</f>
        <v>408</v>
      </c>
      <c r="E42" s="74">
        <f>SUM(E43:E45)</f>
        <v>229.01</v>
      </c>
      <c r="F42" s="74">
        <f>SUM(F43:F45)</f>
        <v>421</v>
      </c>
      <c r="G42" s="49">
        <f>SUM(G43:G45)</f>
        <v>277.7</v>
      </c>
      <c r="H42" s="74">
        <f>SUM(H43:H45)</f>
        <v>437.8</v>
      </c>
      <c r="I42" s="36"/>
      <c r="J42" s="74">
        <f>SUM(J43:J45)</f>
        <v>429.29369999999994</v>
      </c>
      <c r="K42" s="72" t="s">
        <v>104</v>
      </c>
      <c r="L42" s="32">
        <f>IF(AND(F42&gt;0,J42&gt;0),J42/F42,"-")</f>
        <v>1.0196999999999998</v>
      </c>
    </row>
    <row r="43" spans="1:12" s="5" customFormat="1" ht="94.5">
      <c r="A43" s="45"/>
      <c r="B43" s="71" t="s">
        <v>181</v>
      </c>
      <c r="C43" s="45" t="s">
        <v>5</v>
      </c>
      <c r="D43" s="48">
        <v>29.6</v>
      </c>
      <c r="E43" s="48">
        <v>66.1</v>
      </c>
      <c r="F43" s="75">
        <v>30.6</v>
      </c>
      <c r="G43" s="49">
        <v>20.1</v>
      </c>
      <c r="H43" s="49">
        <v>31.8</v>
      </c>
      <c r="I43" s="36" t="s">
        <v>254</v>
      </c>
      <c r="J43" s="76">
        <f>F43*$J$39*(1-$J$38)*($J$18/$F$18)</f>
        <v>31.20282</v>
      </c>
      <c r="K43" s="36" t="s">
        <v>249</v>
      </c>
      <c r="L43" s="32">
        <f>IF(AND(F43&gt;0,J43&gt;0),J43/F43,"-")</f>
        <v>1.0196999999999998</v>
      </c>
    </row>
    <row r="44" spans="1:12" s="5" customFormat="1" ht="94.5">
      <c r="A44" s="45"/>
      <c r="B44" s="71" t="s">
        <v>182</v>
      </c>
      <c r="C44" s="45" t="s">
        <v>5</v>
      </c>
      <c r="D44" s="48">
        <v>374</v>
      </c>
      <c r="E44" s="48">
        <v>158.88</v>
      </c>
      <c r="F44" s="75">
        <v>385.9</v>
      </c>
      <c r="G44" s="49">
        <v>254.6</v>
      </c>
      <c r="H44" s="49">
        <v>401.3</v>
      </c>
      <c r="I44" s="36" t="s">
        <v>255</v>
      </c>
      <c r="J44" s="76">
        <f>F44*$J$39*(1-$J$38)*($J$18/$F$18)</f>
        <v>393.50223</v>
      </c>
      <c r="K44" s="36" t="s">
        <v>249</v>
      </c>
      <c r="L44" s="32">
        <f>IF(AND(F44&gt;0,J44&gt;0),J44/F44,"-")</f>
        <v>1.0197</v>
      </c>
    </row>
    <row r="45" spans="1:12" s="5" customFormat="1" ht="94.5">
      <c r="A45" s="45"/>
      <c r="B45" s="71" t="s">
        <v>183</v>
      </c>
      <c r="C45" s="45" t="s">
        <v>5</v>
      </c>
      <c r="D45" s="48">
        <v>4.4</v>
      </c>
      <c r="E45" s="48">
        <v>4.03</v>
      </c>
      <c r="F45" s="75">
        <v>4.5</v>
      </c>
      <c r="G45" s="49">
        <v>3</v>
      </c>
      <c r="H45" s="49">
        <v>4.7</v>
      </c>
      <c r="I45" s="36" t="s">
        <v>255</v>
      </c>
      <c r="J45" s="76">
        <f>F45*$J$39*(1-$J$38)*($J$18/$F$18)</f>
        <v>4.5886499999999995</v>
      </c>
      <c r="K45" s="36" t="s">
        <v>249</v>
      </c>
      <c r="L45" s="32">
        <f>IF(AND(F45&gt;0,J45&gt;0),J45/F45,"-")</f>
        <v>1.0196999999999998</v>
      </c>
    </row>
    <row r="46" spans="1:12" ht="94.5">
      <c r="A46" s="45" t="s">
        <v>73</v>
      </c>
      <c r="B46" s="77" t="s">
        <v>168</v>
      </c>
      <c r="C46" s="21" t="s">
        <v>5</v>
      </c>
      <c r="D46" s="48"/>
      <c r="E46" s="48"/>
      <c r="F46" s="75"/>
      <c r="G46" s="49"/>
      <c r="H46" s="48"/>
      <c r="I46" s="36"/>
      <c r="J46" s="76">
        <f>F46*$J$39*(1-$J$38)*($J$18/$F$18)</f>
        <v>0</v>
      </c>
      <c r="K46" s="78" t="s">
        <v>16</v>
      </c>
      <c r="L46" s="32" t="str">
        <f>IF(AND(F46&gt;0,J46&gt;0),J46/F46,"-")</f>
        <v>-</v>
      </c>
    </row>
    <row r="47" spans="1:12" s="5" customFormat="1" ht="47.25">
      <c r="A47" s="59" t="s">
        <v>74</v>
      </c>
      <c r="B47" s="73" t="s">
        <v>76</v>
      </c>
      <c r="C47" s="33" t="s">
        <v>5</v>
      </c>
      <c r="D47" s="34">
        <f>ROUND(D48,1)+ROUND(D51,1)+ROUND(D52,1)+ROUND(D55,1)</f>
        <v>830</v>
      </c>
      <c r="E47" s="34">
        <f>ROUND(E48,1)+ROUND(E51,1)+ROUND(E52,1)+ROUND(E55,1)</f>
        <v>355.99999999999994</v>
      </c>
      <c r="F47" s="34">
        <f>ROUND(F48,1)+ROUND(F51,1)+ROUND(F52,1)+ROUND(F55,1)</f>
        <v>1034.8999999999999</v>
      </c>
      <c r="G47" s="35">
        <f>ROUND(G48,1)+ROUND(G51,1)+ROUND(G52,1)+ROUND(G55,1)</f>
        <v>682.9000000000001</v>
      </c>
      <c r="H47" s="34">
        <f>ROUND(H48,1)+ROUND(H51,1)+ROUND(H52,1)+ROUND(H55,1)</f>
        <v>742</v>
      </c>
      <c r="I47" s="72" t="s">
        <v>104</v>
      </c>
      <c r="J47" s="34">
        <f>ROUND(J48,1)+ROUND(J51,1)+ROUND(J52,1)+ROUND(J55,1)</f>
        <v>738.1</v>
      </c>
      <c r="K47" s="72" t="s">
        <v>104</v>
      </c>
      <c r="L47" s="32">
        <f>IF(AND(F47&gt;0,J47&gt;0),J47/F47,"-")</f>
        <v>0.7132090057010341</v>
      </c>
    </row>
    <row r="48" spans="1:12" ht="78.75">
      <c r="A48" s="45" t="s">
        <v>75</v>
      </c>
      <c r="B48" s="71" t="s">
        <v>33</v>
      </c>
      <c r="C48" s="21" t="s">
        <v>5</v>
      </c>
      <c r="D48" s="48">
        <v>569.3</v>
      </c>
      <c r="E48" s="48">
        <v>276.9</v>
      </c>
      <c r="F48" s="75">
        <v>669.8</v>
      </c>
      <c r="G48" s="49">
        <v>462.4</v>
      </c>
      <c r="H48" s="49">
        <v>468.8</v>
      </c>
      <c r="I48" s="79" t="s">
        <v>234</v>
      </c>
      <c r="J48" s="76">
        <f>J49*12*3.2/1000</f>
        <v>465.792</v>
      </c>
      <c r="K48" s="72" t="s">
        <v>104</v>
      </c>
      <c r="L48" s="32">
        <f>IF(AND(F48&gt;0,J48&gt;0),J48/F48,"-")</f>
        <v>0.6954195282173783</v>
      </c>
    </row>
    <row r="49" spans="1:12" ht="299.25">
      <c r="A49" s="45"/>
      <c r="B49" s="80" t="s">
        <v>34</v>
      </c>
      <c r="C49" s="21" t="s">
        <v>47</v>
      </c>
      <c r="D49" s="48">
        <v>9489</v>
      </c>
      <c r="E49" s="48">
        <v>9614</v>
      </c>
      <c r="F49" s="75">
        <v>11163</v>
      </c>
      <c r="G49" s="49">
        <v>12844</v>
      </c>
      <c r="H49" s="49">
        <f>H48/H50/12*1000</f>
        <v>12208.333333333334</v>
      </c>
      <c r="I49" s="81" t="s">
        <v>262</v>
      </c>
      <c r="J49" s="76">
        <v>12130</v>
      </c>
      <c r="K49" s="84" t="s">
        <v>265</v>
      </c>
      <c r="L49" s="32">
        <f>IF(AND(F49&gt;0,J49&gt;0),J49/F49,"-")</f>
        <v>1.0866254591059752</v>
      </c>
    </row>
    <row r="50" spans="1:12" ht="110.25">
      <c r="A50" s="45"/>
      <c r="B50" s="80" t="s">
        <v>35</v>
      </c>
      <c r="C50" s="21" t="s">
        <v>48</v>
      </c>
      <c r="D50" s="48">
        <v>5</v>
      </c>
      <c r="E50" s="48">
        <v>2.4</v>
      </c>
      <c r="F50" s="75">
        <v>5</v>
      </c>
      <c r="G50" s="49">
        <v>3</v>
      </c>
      <c r="H50" s="49">
        <v>3.2</v>
      </c>
      <c r="I50" s="36" t="s">
        <v>237</v>
      </c>
      <c r="J50" s="76">
        <v>3.2</v>
      </c>
      <c r="K50" s="36" t="s">
        <v>266</v>
      </c>
      <c r="L50" s="32">
        <f>IF(AND(F50&gt;0,J50&gt;0),J50/F50,"-")</f>
        <v>0.64</v>
      </c>
    </row>
    <row r="51" spans="1:12" ht="110.25">
      <c r="A51" s="45" t="s">
        <v>77</v>
      </c>
      <c r="B51" s="71" t="s">
        <v>36</v>
      </c>
      <c r="C51" s="21" t="s">
        <v>5</v>
      </c>
      <c r="D51" s="48">
        <v>115.6</v>
      </c>
      <c r="E51" s="48">
        <v>56.2</v>
      </c>
      <c r="F51" s="75">
        <v>202.9</v>
      </c>
      <c r="G51" s="49">
        <v>140.1</v>
      </c>
      <c r="H51" s="49">
        <f>H48*30.3/100</f>
        <v>142.0464</v>
      </c>
      <c r="I51" s="82" t="s">
        <v>236</v>
      </c>
      <c r="J51" s="83">
        <f>J48*30.3/100</f>
        <v>141.134976</v>
      </c>
      <c r="K51" s="84" t="s">
        <v>235</v>
      </c>
      <c r="L51" s="32">
        <f>IF(AND(F51&gt;0,J51&gt;0),J51/F51,"-")</f>
        <v>0.6955888417939872</v>
      </c>
    </row>
    <row r="52" spans="1:12" ht="78.75">
      <c r="A52" s="45" t="s">
        <v>78</v>
      </c>
      <c r="B52" s="71" t="s">
        <v>37</v>
      </c>
      <c r="C52" s="21" t="s">
        <v>5</v>
      </c>
      <c r="D52" s="48">
        <v>120.6</v>
      </c>
      <c r="E52" s="48">
        <v>19</v>
      </c>
      <c r="F52" s="75">
        <v>124.5</v>
      </c>
      <c r="G52" s="49">
        <v>61.68</v>
      </c>
      <c r="H52" s="49">
        <v>100.7</v>
      </c>
      <c r="I52" s="79" t="s">
        <v>234</v>
      </c>
      <c r="J52" s="76">
        <v>100.7</v>
      </c>
      <c r="K52" s="72" t="s">
        <v>104</v>
      </c>
      <c r="L52" s="32">
        <f>IF(AND(F52&gt;0,J52&gt;0),J52/F52,"-")</f>
        <v>0.8088353413654619</v>
      </c>
    </row>
    <row r="53" spans="1:12" ht="283.5">
      <c r="A53" s="45"/>
      <c r="B53" s="80" t="s">
        <v>38</v>
      </c>
      <c r="C53" s="21" t="s">
        <v>47</v>
      </c>
      <c r="D53" s="48">
        <v>20108.2</v>
      </c>
      <c r="E53" s="48">
        <v>7917</v>
      </c>
      <c r="F53" s="75">
        <v>20743.2</v>
      </c>
      <c r="G53" s="49">
        <v>12854</v>
      </c>
      <c r="H53" s="49">
        <f>H52/12/H54*1000</f>
        <v>20979.166666666668</v>
      </c>
      <c r="I53" s="81" t="s">
        <v>267</v>
      </c>
      <c r="J53" s="76">
        <f>J52/12/J54*1000</f>
        <v>20979.166666666668</v>
      </c>
      <c r="K53" s="84" t="s">
        <v>265</v>
      </c>
      <c r="L53" s="32">
        <f>IF(AND(F53&gt;0,J53&gt;0),J53/F53,"-")</f>
        <v>1.011375615462738</v>
      </c>
    </row>
    <row r="54" spans="1:12" ht="110.25">
      <c r="A54" s="45"/>
      <c r="B54" s="80" t="s">
        <v>39</v>
      </c>
      <c r="C54" s="21" t="s">
        <v>48</v>
      </c>
      <c r="D54" s="48">
        <v>0.5</v>
      </c>
      <c r="E54" s="48">
        <v>0.2</v>
      </c>
      <c r="F54" s="75">
        <v>0.5</v>
      </c>
      <c r="G54" s="49">
        <v>0.4</v>
      </c>
      <c r="H54" s="49">
        <v>0.4</v>
      </c>
      <c r="I54" s="36" t="s">
        <v>237</v>
      </c>
      <c r="J54" s="76">
        <v>0.4</v>
      </c>
      <c r="K54" s="36" t="s">
        <v>266</v>
      </c>
      <c r="L54" s="32">
        <f>IF(AND(F54&gt;0,J54&gt;0),J54/F54,"-")</f>
        <v>0.8</v>
      </c>
    </row>
    <row r="55" spans="1:12" ht="110.25">
      <c r="A55" s="45" t="s">
        <v>79</v>
      </c>
      <c r="B55" s="71" t="s">
        <v>40</v>
      </c>
      <c r="C55" s="21" t="s">
        <v>5</v>
      </c>
      <c r="D55" s="48">
        <v>24.5</v>
      </c>
      <c r="E55" s="48">
        <v>3.9</v>
      </c>
      <c r="F55" s="75">
        <v>37.7</v>
      </c>
      <c r="G55" s="49">
        <v>18.7</v>
      </c>
      <c r="H55" s="49">
        <f>H52*30.3/100</f>
        <v>30.5121</v>
      </c>
      <c r="I55" s="82" t="s">
        <v>236</v>
      </c>
      <c r="J55" s="83">
        <f>J52*30.3/100</f>
        <v>30.5121</v>
      </c>
      <c r="K55" s="84" t="s">
        <v>235</v>
      </c>
      <c r="L55" s="32">
        <f>IF(AND(F55&gt;0,J55&gt;0),J55/F55,"-")</f>
        <v>0.809339522546419</v>
      </c>
    </row>
    <row r="56" spans="1:13" ht="78.75">
      <c r="A56" s="45" t="s">
        <v>80</v>
      </c>
      <c r="B56" s="77" t="s">
        <v>82</v>
      </c>
      <c r="C56" s="45" t="s">
        <v>5</v>
      </c>
      <c r="D56" s="48">
        <v>608.36</v>
      </c>
      <c r="E56" s="48">
        <v>248.2</v>
      </c>
      <c r="F56" s="75">
        <v>627.6</v>
      </c>
      <c r="G56" s="49">
        <v>414.04</v>
      </c>
      <c r="H56" s="49">
        <v>366.6</v>
      </c>
      <c r="I56" s="36" t="s">
        <v>256</v>
      </c>
      <c r="J56" s="76">
        <v>366.6</v>
      </c>
      <c r="K56" s="88" t="s">
        <v>268</v>
      </c>
      <c r="L56" s="32">
        <f>IF(AND(F56&gt;0,J56&gt;0),J56/F56,"-")</f>
        <v>0.5841300191204589</v>
      </c>
      <c r="M56" s="103" t="s">
        <v>258</v>
      </c>
    </row>
    <row r="57" spans="1:12" s="5" customFormat="1" ht="94.5">
      <c r="A57" s="45" t="s">
        <v>81</v>
      </c>
      <c r="B57" s="77" t="s">
        <v>207</v>
      </c>
      <c r="C57" s="42" t="s">
        <v>5</v>
      </c>
      <c r="D57" s="43">
        <v>226.902</v>
      </c>
      <c r="E57" s="43">
        <v>87</v>
      </c>
      <c r="F57" s="85">
        <v>234.1</v>
      </c>
      <c r="G57" s="35">
        <v>763</v>
      </c>
      <c r="H57" s="35">
        <v>243.5</v>
      </c>
      <c r="I57" s="36" t="s">
        <v>255</v>
      </c>
      <c r="J57" s="76">
        <f>F57*$J$39*(1-$J$38)*($J$18/$F$18)</f>
        <v>238.71177</v>
      </c>
      <c r="K57" s="36" t="s">
        <v>249</v>
      </c>
      <c r="L57" s="32">
        <f>IF(AND(F57&gt;0,J57&gt;0),J57/F57,"-")</f>
        <v>1.0197</v>
      </c>
    </row>
    <row r="58" spans="1:12" s="5" customFormat="1" ht="15.75">
      <c r="A58" s="86" t="s">
        <v>70</v>
      </c>
      <c r="B58" s="65" t="s">
        <v>185</v>
      </c>
      <c r="C58" s="33" t="s">
        <v>5</v>
      </c>
      <c r="D58" s="34">
        <f>ROUND(D59,1)+ROUND(D60,1)+ROUND(D61,1)+ROUND(D64,1)</f>
        <v>27.2</v>
      </c>
      <c r="E58" s="34">
        <f>ROUND(E59,1)+ROUND(E60,1)+ROUND(E61,1)+ROUND(E64,1)</f>
        <v>73</v>
      </c>
      <c r="F58" s="34">
        <f>ROUND(F59,1)+ROUND(F60,1)+ROUND(F61,1)+ROUND(F64,1)</f>
        <v>28.1</v>
      </c>
      <c r="G58" s="35">
        <f>ROUND(G59,1)+ROUND(G60,1)+ROUND(G61,1)+ROUND(G64,1)</f>
        <v>18.6</v>
      </c>
      <c r="H58" s="34">
        <f>ROUND(H59,1)+ROUND(H60,1)+ROUND(H61,1)+ROUND(H64,1)</f>
        <v>29.2</v>
      </c>
      <c r="I58" s="72" t="s">
        <v>104</v>
      </c>
      <c r="J58" s="34">
        <f>F58*$J$39*(1-$J$38)*($J$18/$F$18)</f>
        <v>28.653570000000002</v>
      </c>
      <c r="K58" s="72" t="s">
        <v>104</v>
      </c>
      <c r="L58" s="32">
        <f>IF(AND(F58&gt;0,J58&gt;0),J58/F58,"-")</f>
        <v>1.0197</v>
      </c>
    </row>
    <row r="59" spans="1:12" s="5" customFormat="1" ht="94.5">
      <c r="A59" s="45" t="s">
        <v>85</v>
      </c>
      <c r="B59" s="77" t="s">
        <v>169</v>
      </c>
      <c r="C59" s="45" t="s">
        <v>5</v>
      </c>
      <c r="D59" s="48">
        <v>27.249</v>
      </c>
      <c r="E59" s="48">
        <v>73</v>
      </c>
      <c r="F59" s="75">
        <v>28.1</v>
      </c>
      <c r="G59" s="49">
        <v>18.6</v>
      </c>
      <c r="H59" s="49">
        <v>29.2</v>
      </c>
      <c r="I59" s="36" t="s">
        <v>255</v>
      </c>
      <c r="J59" s="76">
        <f>F59*$J$39*(1-$J$38)*($J$18/$F$18)</f>
        <v>28.653570000000002</v>
      </c>
      <c r="K59" s="36" t="s">
        <v>249</v>
      </c>
      <c r="L59" s="32">
        <f>IF(AND(F59&gt;0,J59&gt;0),J59/F59,"-")</f>
        <v>1.0197</v>
      </c>
    </row>
    <row r="60" spans="1:12" s="5" customFormat="1" ht="47.25">
      <c r="A60" s="45" t="s">
        <v>86</v>
      </c>
      <c r="B60" s="77" t="s">
        <v>170</v>
      </c>
      <c r="C60" s="45" t="s">
        <v>5</v>
      </c>
      <c r="D60" s="48"/>
      <c r="E60" s="48"/>
      <c r="F60" s="75"/>
      <c r="G60" s="49"/>
      <c r="H60" s="48"/>
      <c r="I60" s="36"/>
      <c r="J60" s="76">
        <f>F60*$J$39*(1-$J$38)*($J$18/$F$18)</f>
        <v>0</v>
      </c>
      <c r="K60" s="78" t="s">
        <v>16</v>
      </c>
      <c r="L60" s="32" t="str">
        <f>IF(AND(F60&gt;0,J60&gt;0),J60/F60,"-")</f>
        <v>-</v>
      </c>
    </row>
    <row r="61" spans="1:12" s="5" customFormat="1" ht="31.5">
      <c r="A61" s="45" t="s">
        <v>87</v>
      </c>
      <c r="B61" s="77" t="s">
        <v>83</v>
      </c>
      <c r="C61" s="45" t="s">
        <v>5</v>
      </c>
      <c r="D61" s="48"/>
      <c r="E61" s="48"/>
      <c r="F61" s="75"/>
      <c r="G61" s="49"/>
      <c r="H61" s="48"/>
      <c r="I61" s="36"/>
      <c r="J61" s="76">
        <f>F61*$J$39*(1-$J$38)*($J$18/$F$18)</f>
        <v>0</v>
      </c>
      <c r="K61" s="78" t="s">
        <v>16</v>
      </c>
      <c r="L61" s="32" t="str">
        <f>IF(AND(F61&gt;0,J61&gt;0),J61/F61,"-")</f>
        <v>-</v>
      </c>
    </row>
    <row r="62" spans="1:12" s="5" customFormat="1" ht="31.5">
      <c r="A62" s="45"/>
      <c r="B62" s="71" t="s">
        <v>89</v>
      </c>
      <c r="C62" s="21" t="s">
        <v>47</v>
      </c>
      <c r="D62" s="48"/>
      <c r="E62" s="48"/>
      <c r="F62" s="75"/>
      <c r="G62" s="49"/>
      <c r="H62" s="48"/>
      <c r="I62" s="36"/>
      <c r="J62" s="76">
        <f>F62*$J$39*(1-$J$38)*($J$18/$F$18)</f>
        <v>0</v>
      </c>
      <c r="K62" s="78" t="s">
        <v>16</v>
      </c>
      <c r="L62" s="32" t="str">
        <f>IF(AND(F62&gt;0,J62&gt;0),J62/F62,"-")</f>
        <v>-</v>
      </c>
    </row>
    <row r="63" spans="1:12" s="5" customFormat="1" ht="31.5">
      <c r="A63" s="45"/>
      <c r="B63" s="71" t="s">
        <v>90</v>
      </c>
      <c r="C63" s="45" t="s">
        <v>48</v>
      </c>
      <c r="D63" s="48"/>
      <c r="E63" s="48"/>
      <c r="F63" s="75"/>
      <c r="G63" s="49"/>
      <c r="H63" s="48"/>
      <c r="I63" s="36"/>
      <c r="J63" s="76"/>
      <c r="K63" s="78" t="s">
        <v>16</v>
      </c>
      <c r="L63" s="32" t="str">
        <f>IF(AND(F63&gt;0,J63&gt;0),J63/F63,"-")</f>
        <v>-</v>
      </c>
    </row>
    <row r="64" spans="1:12" s="5" customFormat="1" ht="31.5">
      <c r="A64" s="45" t="s">
        <v>88</v>
      </c>
      <c r="B64" s="77" t="s">
        <v>84</v>
      </c>
      <c r="C64" s="45" t="s">
        <v>5</v>
      </c>
      <c r="D64" s="48"/>
      <c r="E64" s="48"/>
      <c r="F64" s="75"/>
      <c r="G64" s="49"/>
      <c r="H64" s="48"/>
      <c r="I64" s="36"/>
      <c r="J64" s="76">
        <f>F64*$J$39*(1-$J$38)*($J$18/$F$18)</f>
        <v>0</v>
      </c>
      <c r="K64" s="78" t="s">
        <v>16</v>
      </c>
      <c r="L64" s="32" t="str">
        <f>IF(AND(F64&gt;0,J64&gt;0),J64/F64,"-")</f>
        <v>-</v>
      </c>
    </row>
    <row r="65" spans="1:12" s="5" customFormat="1" ht="94.5">
      <c r="A65" s="59" t="s">
        <v>71</v>
      </c>
      <c r="B65" s="65" t="s">
        <v>146</v>
      </c>
      <c r="C65" s="33" t="s">
        <v>5</v>
      </c>
      <c r="D65" s="34">
        <f>ROUND(D66,1)+ROUND(D69,1)+ROUND(D70,1)+ROUND(D78,1)+ROUND(D79,1)+ROUND(D80,1)+ROUND(D81,1)+ROUND(D82,1)+ROUND(D83,1)</f>
        <v>22.700000000000003</v>
      </c>
      <c r="E65" s="34">
        <f>ROUND(E66,1)+ROUND(E69,1)+ROUND(E70,1)+ROUND(E78,1)+ROUND(E79,1)+ROUND(E80,1)+ROUND(E81,1)+ROUND(E82,1)+ROUND(E83,1)</f>
        <v>0.4</v>
      </c>
      <c r="F65" s="34">
        <f>ROUND(F66,1)+ROUND(F69,1)+ROUND(F70,1)+ROUND(F78,1)+ROUND(F79,1)+ROUND(F80,1)+ROUND(F81,1)+ROUND(F82,1)+ROUND(F83,1)</f>
        <v>23.5</v>
      </c>
      <c r="G65" s="35">
        <f>ROUND(G66,1)+ROUND(G69,1)+ROUND(G70,1)+ROUND(G78,1)+ROUND(G79,1)+ROUND(G80,1)+ROUND(G81,1)+ROUND(G82,1)+ROUND(G83,1)</f>
        <v>26.700000000000003</v>
      </c>
      <c r="H65" s="34">
        <f>ROUND(H66,1)+ROUND(H69,1)+ROUND(H70,1)+ROUND(H78,1)+ROUND(H79,1)+ROUND(H80,1)+ROUND(H81,1)+ROUND(H82,1)+ROUND(H83,1)</f>
        <v>24.400000000000002</v>
      </c>
      <c r="I65" s="36"/>
      <c r="J65" s="34">
        <f>F65*$J$39*(1-$J$38)*($J$18/$F$18)</f>
        <v>23.962950000000003</v>
      </c>
      <c r="K65" s="36" t="s">
        <v>249</v>
      </c>
      <c r="L65" s="32">
        <f>IF(AND(F65&gt;0,J65&gt;0),J65/F65,"-")</f>
        <v>1.0197</v>
      </c>
    </row>
    <row r="66" spans="1:12" s="5" customFormat="1" ht="31.5">
      <c r="A66" s="45" t="s">
        <v>91</v>
      </c>
      <c r="B66" s="77" t="s">
        <v>49</v>
      </c>
      <c r="C66" s="45" t="s">
        <v>5</v>
      </c>
      <c r="D66" s="48"/>
      <c r="E66" s="48"/>
      <c r="F66" s="75"/>
      <c r="G66" s="49"/>
      <c r="H66" s="49"/>
      <c r="I66" s="36"/>
      <c r="J66" s="76">
        <f>F66*$J$39*(1-$J$38)*($J$18/$F$18)</f>
        <v>0</v>
      </c>
      <c r="K66" s="78" t="s">
        <v>16</v>
      </c>
      <c r="L66" s="32" t="str">
        <f>IF(AND(F66&gt;0,J66&gt;0),J66/F66,"-")</f>
        <v>-</v>
      </c>
    </row>
    <row r="67" spans="1:12" s="5" customFormat="1" ht="31.5">
      <c r="A67" s="45"/>
      <c r="B67" s="71" t="s">
        <v>50</v>
      </c>
      <c r="C67" s="21" t="s">
        <v>47</v>
      </c>
      <c r="D67" s="48"/>
      <c r="E67" s="48"/>
      <c r="F67" s="75"/>
      <c r="G67" s="49"/>
      <c r="H67" s="48"/>
      <c r="I67" s="36"/>
      <c r="J67" s="76">
        <f>F67*$J$39*(1-$J$38)*($J$18/$F$18)</f>
        <v>0</v>
      </c>
      <c r="K67" s="78" t="s">
        <v>16</v>
      </c>
      <c r="L67" s="32" t="str">
        <f>IF(AND(F67&gt;0,J67&gt;0),J67/F67,"-")</f>
        <v>-</v>
      </c>
    </row>
    <row r="68" spans="1:12" s="5" customFormat="1" ht="47.25">
      <c r="A68" s="45"/>
      <c r="B68" s="71" t="s">
        <v>51</v>
      </c>
      <c r="C68" s="45" t="s">
        <v>48</v>
      </c>
      <c r="D68" s="48"/>
      <c r="E68" s="48"/>
      <c r="F68" s="75"/>
      <c r="G68" s="49"/>
      <c r="H68" s="48"/>
      <c r="I68" s="36"/>
      <c r="J68" s="76"/>
      <c r="K68" s="78" t="s">
        <v>16</v>
      </c>
      <c r="L68" s="32" t="str">
        <f>IF(AND(F68&gt;0,J68&gt;0),J68/F68,"-")</f>
        <v>-</v>
      </c>
    </row>
    <row r="69" spans="1:12" s="5" customFormat="1" ht="31.5">
      <c r="A69" s="45" t="s">
        <v>92</v>
      </c>
      <c r="B69" s="77" t="s">
        <v>52</v>
      </c>
      <c r="C69" s="45" t="s">
        <v>5</v>
      </c>
      <c r="D69" s="48"/>
      <c r="E69" s="48"/>
      <c r="F69" s="75"/>
      <c r="G69" s="49"/>
      <c r="H69" s="48"/>
      <c r="I69" s="36"/>
      <c r="J69" s="76">
        <f>F69*$J$39*(1-$J$38)*($J$18/$F$18)</f>
        <v>0</v>
      </c>
      <c r="K69" s="78" t="s">
        <v>16</v>
      </c>
      <c r="L69" s="32" t="str">
        <f>IF(AND(F69&gt;0,J69&gt;0),J69/F69,"-")</f>
        <v>-</v>
      </c>
    </row>
    <row r="70" spans="1:12" s="5" customFormat="1" ht="63">
      <c r="A70" s="59" t="s">
        <v>93</v>
      </c>
      <c r="B70" s="73" t="s">
        <v>172</v>
      </c>
      <c r="C70" s="59" t="s">
        <v>5</v>
      </c>
      <c r="D70" s="34">
        <f>SUM(D71:D77)</f>
        <v>16.797</v>
      </c>
      <c r="E70" s="34">
        <f>SUM(E71:E77)</f>
        <v>0.35</v>
      </c>
      <c r="F70" s="34">
        <f>SUM(F71:F77)</f>
        <v>17.4</v>
      </c>
      <c r="G70" s="35">
        <f>SUM(G71:G77)</f>
        <v>11.399999999999999</v>
      </c>
      <c r="H70" s="34">
        <f>SUM(H71:H77)</f>
        <v>18.1</v>
      </c>
      <c r="I70" s="36"/>
      <c r="J70" s="34">
        <f>F70*$J$39*(1-$J$38)*($J$18/$F$18)</f>
        <v>17.74278</v>
      </c>
      <c r="K70" s="72" t="s">
        <v>104</v>
      </c>
      <c r="L70" s="32">
        <f>IF(AND(F70&gt;0,J70&gt;0),J70/F70,"-")</f>
        <v>1.0197</v>
      </c>
    </row>
    <row r="71" spans="1:12" s="5" customFormat="1" ht="94.5">
      <c r="A71" s="45"/>
      <c r="B71" s="80" t="s">
        <v>21</v>
      </c>
      <c r="C71" s="45" t="s">
        <v>5</v>
      </c>
      <c r="D71" s="48">
        <v>1.8</v>
      </c>
      <c r="E71" s="48">
        <v>0.35</v>
      </c>
      <c r="F71" s="75">
        <v>1.9</v>
      </c>
      <c r="G71" s="49">
        <v>1.2</v>
      </c>
      <c r="H71" s="48">
        <v>2</v>
      </c>
      <c r="I71" s="36" t="s">
        <v>255</v>
      </c>
      <c r="J71" s="76">
        <f>F71*$J$39*(1-$J$38)*($J$18/$F$18)</f>
        <v>1.9374299999999998</v>
      </c>
      <c r="K71" s="36" t="s">
        <v>249</v>
      </c>
      <c r="L71" s="32">
        <f>IF(AND(F71&gt;0,J71&gt;0),J71/F71,"-")</f>
        <v>1.0196999999999998</v>
      </c>
    </row>
    <row r="72" spans="1:12" s="5" customFormat="1" ht="94.5">
      <c r="A72" s="45"/>
      <c r="B72" s="80" t="s">
        <v>22</v>
      </c>
      <c r="C72" s="45" t="s">
        <v>5</v>
      </c>
      <c r="D72" s="48">
        <v>14.997</v>
      </c>
      <c r="E72" s="48"/>
      <c r="F72" s="75">
        <v>15.5</v>
      </c>
      <c r="G72" s="49">
        <v>10.2</v>
      </c>
      <c r="H72" s="48">
        <v>16.1</v>
      </c>
      <c r="I72" s="36" t="s">
        <v>255</v>
      </c>
      <c r="J72" s="76">
        <f>F72*$J$39*(1-$J$38)*($J$18/$F$18)</f>
        <v>15.805349999999999</v>
      </c>
      <c r="K72" s="36" t="s">
        <v>249</v>
      </c>
      <c r="L72" s="32">
        <f>IF(AND(F72&gt;0,J72&gt;0),J72/F72,"-")</f>
        <v>1.0196999999999998</v>
      </c>
    </row>
    <row r="73" spans="1:12" s="5" customFormat="1" ht="15.75">
      <c r="A73" s="45"/>
      <c r="B73" s="80" t="s">
        <v>23</v>
      </c>
      <c r="C73" s="45" t="s">
        <v>5</v>
      </c>
      <c r="D73" s="48"/>
      <c r="E73" s="48"/>
      <c r="F73" s="75"/>
      <c r="G73" s="49"/>
      <c r="H73" s="48"/>
      <c r="I73" s="36"/>
      <c r="J73" s="76">
        <f>F73*$J$39*(1-$J$38)*($J$18/$F$18)</f>
        <v>0</v>
      </c>
      <c r="K73" s="78" t="s">
        <v>16</v>
      </c>
      <c r="L73" s="32" t="str">
        <f>IF(AND(F73&gt;0,J73&gt;0),J73/F73,"-")</f>
        <v>-</v>
      </c>
    </row>
    <row r="74" spans="1:12" s="5" customFormat="1" ht="15.75">
      <c r="A74" s="45"/>
      <c r="B74" s="80" t="s">
        <v>24</v>
      </c>
      <c r="C74" s="45" t="s">
        <v>5</v>
      </c>
      <c r="D74" s="48"/>
      <c r="E74" s="48"/>
      <c r="F74" s="75"/>
      <c r="G74" s="49"/>
      <c r="H74" s="48"/>
      <c r="I74" s="36"/>
      <c r="J74" s="76">
        <f>F74*$J$39*(1-$J$38)*($J$18/$F$18)</f>
        <v>0</v>
      </c>
      <c r="K74" s="78" t="s">
        <v>16</v>
      </c>
      <c r="L74" s="32" t="str">
        <f>IF(AND(F74&gt;0,J74&gt;0),J74/F74,"-")</f>
        <v>-</v>
      </c>
    </row>
    <row r="75" spans="1:12" s="5" customFormat="1" ht="15.75">
      <c r="A75" s="45"/>
      <c r="B75" s="80" t="s">
        <v>173</v>
      </c>
      <c r="C75" s="45" t="s">
        <v>5</v>
      </c>
      <c r="D75" s="48"/>
      <c r="E75" s="48"/>
      <c r="F75" s="75"/>
      <c r="G75" s="49"/>
      <c r="H75" s="48"/>
      <c r="I75" s="36"/>
      <c r="J75" s="76">
        <f>F75*$J$39*(1-$J$38)*($J$18/$F$18)</f>
        <v>0</v>
      </c>
      <c r="K75" s="78" t="s">
        <v>16</v>
      </c>
      <c r="L75" s="32" t="str">
        <f>IF(AND(F75&gt;0,J75&gt;0),J75/F75,"-")</f>
        <v>-</v>
      </c>
    </row>
    <row r="76" spans="1:12" s="5" customFormat="1" ht="15.75">
      <c r="A76" s="45"/>
      <c r="B76" s="80" t="s">
        <v>25</v>
      </c>
      <c r="C76" s="45" t="s">
        <v>5</v>
      </c>
      <c r="D76" s="48"/>
      <c r="E76" s="48"/>
      <c r="F76" s="75"/>
      <c r="G76" s="49"/>
      <c r="H76" s="48"/>
      <c r="I76" s="36"/>
      <c r="J76" s="76">
        <f>F76*$J$39*(1-$J$38)*($J$18/$F$18)</f>
        <v>0</v>
      </c>
      <c r="K76" s="78" t="s">
        <v>16</v>
      </c>
      <c r="L76" s="32" t="str">
        <f>IF(AND(F76&gt;0,J76&gt;0),J76/F76,"-")</f>
        <v>-</v>
      </c>
    </row>
    <row r="77" spans="1:12" s="5" customFormat="1" ht="15.75">
      <c r="A77" s="45"/>
      <c r="B77" s="80" t="s">
        <v>174</v>
      </c>
      <c r="C77" s="45" t="s">
        <v>5</v>
      </c>
      <c r="D77" s="48"/>
      <c r="E77" s="48"/>
      <c r="F77" s="75"/>
      <c r="G77" s="49"/>
      <c r="H77" s="48"/>
      <c r="I77" s="36"/>
      <c r="J77" s="76">
        <f>F77*$J$39*(1-$J$38)*($J$18/$F$18)</f>
        <v>0</v>
      </c>
      <c r="K77" s="78" t="s">
        <v>16</v>
      </c>
      <c r="L77" s="32" t="str">
        <f>IF(AND(F77&gt;0,J77&gt;0),J77/F77,"-")</f>
        <v>-</v>
      </c>
    </row>
    <row r="78" spans="1:12" s="5" customFormat="1" ht="63">
      <c r="A78" s="45" t="s">
        <v>175</v>
      </c>
      <c r="B78" s="87" t="s">
        <v>189</v>
      </c>
      <c r="C78" s="45" t="s">
        <v>5</v>
      </c>
      <c r="D78" s="48"/>
      <c r="E78" s="48"/>
      <c r="F78" s="75"/>
      <c r="G78" s="49"/>
      <c r="H78" s="48"/>
      <c r="I78" s="36"/>
      <c r="J78" s="76">
        <f>F78*$J$39*(1-$J$38)*($J$18/$F$18)</f>
        <v>0</v>
      </c>
      <c r="K78" s="78" t="s">
        <v>16</v>
      </c>
      <c r="L78" s="32" t="str">
        <f>IF(AND(F78&gt;0,J78&gt;0),J78/F78,"-")</f>
        <v>-</v>
      </c>
    </row>
    <row r="79" spans="1:12" s="5" customFormat="1" ht="15.75">
      <c r="A79" s="45" t="s">
        <v>176</v>
      </c>
      <c r="B79" s="77" t="s">
        <v>26</v>
      </c>
      <c r="C79" s="45" t="s">
        <v>5</v>
      </c>
      <c r="D79" s="48"/>
      <c r="E79" s="48"/>
      <c r="F79" s="75"/>
      <c r="G79" s="49"/>
      <c r="H79" s="48"/>
      <c r="I79" s="36"/>
      <c r="J79" s="76">
        <f>F79*$J$39*(1-$J$38)*($J$18/$F$18)</f>
        <v>0</v>
      </c>
      <c r="K79" s="78" t="s">
        <v>16</v>
      </c>
      <c r="L79" s="32" t="str">
        <f>IF(AND(F79&gt;0,J79&gt;0),J79/F79,"-")</f>
        <v>-</v>
      </c>
    </row>
    <row r="80" spans="1:12" s="5" customFormat="1" ht="94.5">
      <c r="A80" s="45" t="s">
        <v>177</v>
      </c>
      <c r="B80" s="77" t="s">
        <v>27</v>
      </c>
      <c r="C80" s="45" t="s">
        <v>5</v>
      </c>
      <c r="D80" s="48">
        <v>5.898</v>
      </c>
      <c r="E80" s="48"/>
      <c r="F80" s="75">
        <v>6.1</v>
      </c>
      <c r="G80" s="49">
        <v>15.3</v>
      </c>
      <c r="H80" s="48">
        <v>6.3</v>
      </c>
      <c r="I80" s="36" t="s">
        <v>257</v>
      </c>
      <c r="J80" s="76">
        <f>F80*$J$39*(1-$J$38)*($J$18/$F$18)</f>
        <v>6.2201699999999995</v>
      </c>
      <c r="K80" s="36" t="s">
        <v>249</v>
      </c>
      <c r="L80" s="32">
        <f>IF(AND(F80&gt;0,J80&gt;0),J80/F80,"-")</f>
        <v>1.0197</v>
      </c>
    </row>
    <row r="81" spans="1:12" s="5" customFormat="1" ht="126">
      <c r="A81" s="45" t="s">
        <v>178</v>
      </c>
      <c r="B81" s="77" t="s">
        <v>203</v>
      </c>
      <c r="C81" s="45" t="s">
        <v>5</v>
      </c>
      <c r="D81" s="48"/>
      <c r="E81" s="48"/>
      <c r="F81" s="75"/>
      <c r="G81" s="49"/>
      <c r="H81" s="48"/>
      <c r="I81" s="36"/>
      <c r="J81" s="76">
        <f>F81*$J$39*(1-$J$38)*($J$18/$F$18)</f>
        <v>0</v>
      </c>
      <c r="K81" s="78" t="s">
        <v>16</v>
      </c>
      <c r="L81" s="32" t="str">
        <f>IF(AND(F81&gt;0,J81&gt;0),J81/F81,"-")</f>
        <v>-</v>
      </c>
    </row>
    <row r="82" spans="1:12" s="5" customFormat="1" ht="31.5">
      <c r="A82" s="45" t="s">
        <v>179</v>
      </c>
      <c r="B82" s="77" t="s">
        <v>171</v>
      </c>
      <c r="C82" s="45" t="s">
        <v>5</v>
      </c>
      <c r="D82" s="48"/>
      <c r="E82" s="48"/>
      <c r="F82" s="75"/>
      <c r="G82" s="49"/>
      <c r="H82" s="48"/>
      <c r="I82" s="36"/>
      <c r="J82" s="76">
        <f>F82*$J$39*(1-$J$38)*($J$18/$F$18)</f>
        <v>0</v>
      </c>
      <c r="K82" s="78" t="s">
        <v>16</v>
      </c>
      <c r="L82" s="32" t="str">
        <f>IF(AND(F82&gt;0,J82&gt;0),J82/F82,"-")</f>
        <v>-</v>
      </c>
    </row>
    <row r="83" spans="1:12" s="5" customFormat="1" ht="15.75">
      <c r="A83" s="45" t="s">
        <v>180</v>
      </c>
      <c r="B83" s="77" t="s">
        <v>145</v>
      </c>
      <c r="C83" s="45" t="s">
        <v>5</v>
      </c>
      <c r="D83" s="48"/>
      <c r="E83" s="48"/>
      <c r="F83" s="75"/>
      <c r="G83" s="49"/>
      <c r="H83" s="48"/>
      <c r="I83" s="36"/>
      <c r="J83" s="76">
        <f>F83*$J$39*(1-$J$38)*($J$18/$F$18)</f>
        <v>0</v>
      </c>
      <c r="K83" s="78" t="s">
        <v>16</v>
      </c>
      <c r="L83" s="32" t="str">
        <f>IF(AND(F83&gt;0,J83&gt;0),J83/F83,"-")</f>
        <v>-</v>
      </c>
    </row>
    <row r="84" spans="1:12" s="5" customFormat="1" ht="15.75">
      <c r="A84" s="59" t="s">
        <v>67</v>
      </c>
      <c r="B84" s="65" t="s">
        <v>15</v>
      </c>
      <c r="C84" s="33" t="s">
        <v>5</v>
      </c>
      <c r="D84" s="34">
        <f>ROUND(D85,1)+ROUND(D86,1)+ROUND(D94,1)+ROUND(D95,1)+ROUND(D96,1)+ROUND(D97,1)+ROUND(D98,1)+ROUND(D99,1)</f>
        <v>678.3000000000001</v>
      </c>
      <c r="E84" s="34">
        <f aca="true" t="shared" si="2" ref="E84:J84">ROUND(E85,1)+ROUND(E86,1)+ROUND(E94,1)+ROUND(E95,1)+ROUND(E96,1)+ROUND(E97,1)+ROUND(E98,1)+ROUND(E99,1)</f>
        <v>545.9</v>
      </c>
      <c r="F84" s="34">
        <f t="shared" si="2"/>
        <v>960.1</v>
      </c>
      <c r="G84" s="35">
        <f t="shared" si="2"/>
        <v>1292.6999999999998</v>
      </c>
      <c r="H84" s="34">
        <f t="shared" si="2"/>
        <v>1292.9</v>
      </c>
      <c r="I84" s="72" t="s">
        <v>104</v>
      </c>
      <c r="J84" s="34">
        <f t="shared" si="2"/>
        <v>1292.3</v>
      </c>
      <c r="K84" s="72" t="s">
        <v>104</v>
      </c>
      <c r="L84" s="32">
        <f>IF(AND(F84&gt;0,J84&gt;0),J84/F84,"-")</f>
        <v>1.3460056244141234</v>
      </c>
    </row>
    <row r="85" spans="1:12" s="5" customFormat="1" ht="47.25">
      <c r="A85" s="45" t="s">
        <v>95</v>
      </c>
      <c r="B85" s="47" t="s">
        <v>193</v>
      </c>
      <c r="C85" s="45" t="s">
        <v>5</v>
      </c>
      <c r="D85" s="48"/>
      <c r="E85" s="48"/>
      <c r="F85" s="49"/>
      <c r="G85" s="49"/>
      <c r="H85" s="48"/>
      <c r="I85" s="36"/>
      <c r="J85" s="48"/>
      <c r="K85" s="36"/>
      <c r="L85" s="32" t="str">
        <f>IF(AND(F85&gt;0,J85&gt;0),J85/F85,"-")</f>
        <v>-</v>
      </c>
    </row>
    <row r="86" spans="1:12" s="5" customFormat="1" ht="31.5">
      <c r="A86" s="59" t="s">
        <v>96</v>
      </c>
      <c r="B86" s="65" t="s">
        <v>188</v>
      </c>
      <c r="C86" s="33" t="s">
        <v>5</v>
      </c>
      <c r="D86" s="34">
        <f>ROUND(D87,1)+ROUND(D88,1)+ROUND(D89,1)+ROUND(D90,1)+ROUND(D91,1)+ROUND(D92,1)+ROUND(D93,1)</f>
        <v>374.6</v>
      </c>
      <c r="E86" s="34">
        <f>ROUND(E87,1)+ROUND(E88,1)+ROUND(E89,1)+ROUND(E90,1)+ROUND(E91,1)+ROUND(E92,1)+ROUND(E93,1)</f>
        <v>137.60000000000002</v>
      </c>
      <c r="F86" s="34">
        <f>ROUND(F87,1)+ROUND(F88,1)+ROUND(F89,1)+ROUND(F90,1)+ROUND(F91,1)+ROUND(F92,1)+ROUND(F93,1)</f>
        <v>308</v>
      </c>
      <c r="G86" s="35">
        <f>ROUND(G87,1)+ROUND(G88,1)+ROUND(G89,1)+ROUND(G90,1)+ROUND(G91,1)+ROUND(G92,1)+ROUND(G93,1)</f>
        <v>573.8000000000001</v>
      </c>
      <c r="H86" s="34">
        <f>ROUND(H87,1)+ROUND(H88,1)+ROUND(H89,1)+ROUND(H90,1)+ROUND(H91,1)+ROUND(H92,1)+ROUND(H93,1)</f>
        <v>574</v>
      </c>
      <c r="I86" s="72" t="s">
        <v>104</v>
      </c>
      <c r="J86" s="34">
        <f>ROUND(J87,1)+ROUND(J88,1)+ROUND(J89,1)+ROUND(J90,1)+ROUND(J91,1)+ROUND(J92,1)+ROUND(J93,1)</f>
        <v>573.4</v>
      </c>
      <c r="K86" s="72" t="s">
        <v>104</v>
      </c>
      <c r="L86" s="32">
        <f>IF(AND(F86&gt;0,J86&gt;0),J86/F86,"-")</f>
        <v>1.8616883116883116</v>
      </c>
    </row>
    <row r="87" spans="1:12" s="5" customFormat="1" ht="15.75">
      <c r="A87" s="45" t="s">
        <v>113</v>
      </c>
      <c r="B87" s="77" t="s">
        <v>14</v>
      </c>
      <c r="C87" s="45" t="s">
        <v>5</v>
      </c>
      <c r="D87" s="48"/>
      <c r="E87" s="48"/>
      <c r="F87" s="49"/>
      <c r="G87" s="49"/>
      <c r="H87" s="49"/>
      <c r="I87" s="88"/>
      <c r="J87" s="48"/>
      <c r="K87" s="36"/>
      <c r="L87" s="32" t="str">
        <f>IF(AND(F87&gt;0,J87&gt;0),J87/F87,"-")</f>
        <v>-</v>
      </c>
    </row>
    <row r="88" spans="1:12" s="5" customFormat="1" ht="15.75">
      <c r="A88" s="45" t="s">
        <v>114</v>
      </c>
      <c r="B88" s="77" t="s">
        <v>13</v>
      </c>
      <c r="C88" s="45" t="s">
        <v>5</v>
      </c>
      <c r="D88" s="48"/>
      <c r="E88" s="48"/>
      <c r="F88" s="49"/>
      <c r="G88" s="49"/>
      <c r="H88" s="48"/>
      <c r="I88" s="36"/>
      <c r="J88" s="48"/>
      <c r="K88" s="36"/>
      <c r="L88" s="32" t="str">
        <f>IF(AND(F88&gt;0,J88&gt;0),J88/F88,"-")</f>
        <v>-</v>
      </c>
    </row>
    <row r="89" spans="1:12" s="5" customFormat="1" ht="173.25">
      <c r="A89" s="45" t="s">
        <v>115</v>
      </c>
      <c r="B89" s="87" t="s">
        <v>12</v>
      </c>
      <c r="C89" s="45" t="s">
        <v>5</v>
      </c>
      <c r="D89" s="48">
        <v>125.87</v>
      </c>
      <c r="E89" s="48">
        <v>66.18</v>
      </c>
      <c r="F89" s="49">
        <v>125.87</v>
      </c>
      <c r="G89" s="49">
        <v>436.1</v>
      </c>
      <c r="H89" s="49">
        <v>445.79</v>
      </c>
      <c r="I89" s="36" t="s">
        <v>243</v>
      </c>
      <c r="J89" s="49">
        <v>445.8</v>
      </c>
      <c r="K89" s="88" t="s">
        <v>241</v>
      </c>
      <c r="L89" s="32">
        <f>IF(AND(F89&gt;0,J89&gt;0),J89/F89,"-")</f>
        <v>3.541749424008898</v>
      </c>
    </row>
    <row r="90" spans="1:12" s="5" customFormat="1" ht="94.5">
      <c r="A90" s="45" t="s">
        <v>116</v>
      </c>
      <c r="B90" s="77" t="s">
        <v>11</v>
      </c>
      <c r="C90" s="45" t="s">
        <v>5</v>
      </c>
      <c r="D90" s="48">
        <v>5.65</v>
      </c>
      <c r="E90" s="48">
        <v>2.86</v>
      </c>
      <c r="F90" s="49">
        <v>5.65</v>
      </c>
      <c r="G90" s="49">
        <v>3.6</v>
      </c>
      <c r="H90" s="49">
        <v>3.64</v>
      </c>
      <c r="I90" s="36" t="s">
        <v>248</v>
      </c>
      <c r="J90" s="48">
        <v>3.6</v>
      </c>
      <c r="K90" s="88" t="s">
        <v>229</v>
      </c>
      <c r="L90" s="32">
        <f>IF(AND(F90&gt;0,J90&gt;0),J90/F90,"-")</f>
        <v>0.6371681415929203</v>
      </c>
    </row>
    <row r="91" spans="1:12" s="5" customFormat="1" ht="94.5">
      <c r="A91" s="45" t="s">
        <v>117</v>
      </c>
      <c r="B91" s="77" t="s">
        <v>60</v>
      </c>
      <c r="C91" s="45" t="s">
        <v>5</v>
      </c>
      <c r="D91" s="48">
        <v>83.04</v>
      </c>
      <c r="E91" s="48">
        <v>45.6</v>
      </c>
      <c r="F91" s="49">
        <v>85.746</v>
      </c>
      <c r="G91" s="49">
        <f>(G36+G89+G90+G92+G97+G99+G140)*6/100/2</f>
        <v>102.13799999999999</v>
      </c>
      <c r="H91" s="49">
        <f>(H36+H89+H90+H92+H97+H99+H140)*6/100/2</f>
        <v>92.277</v>
      </c>
      <c r="I91" s="27" t="s">
        <v>271</v>
      </c>
      <c r="J91" s="35">
        <f>(J36+J89+J90+J92+J99+J140+J97)*6/100/2</f>
        <v>91.73310000000001</v>
      </c>
      <c r="K91" s="88" t="s">
        <v>269</v>
      </c>
      <c r="L91" s="32">
        <f>IF(AND(F91&gt;0,J91&gt;0),J91/F91,"-")</f>
        <v>1.06982366524386</v>
      </c>
    </row>
    <row r="92" spans="1:12" s="5" customFormat="1" ht="110.25">
      <c r="A92" s="45" t="s">
        <v>118</v>
      </c>
      <c r="B92" s="77" t="s">
        <v>253</v>
      </c>
      <c r="C92" s="45" t="s">
        <v>5</v>
      </c>
      <c r="D92" s="48">
        <v>160</v>
      </c>
      <c r="E92" s="48">
        <v>22.91</v>
      </c>
      <c r="F92" s="49">
        <v>90.666</v>
      </c>
      <c r="G92" s="49">
        <v>32</v>
      </c>
      <c r="H92" s="49">
        <v>32.27</v>
      </c>
      <c r="I92" s="36" t="s">
        <v>244</v>
      </c>
      <c r="J92" s="48">
        <v>32.3</v>
      </c>
      <c r="K92" s="88" t="s">
        <v>231</v>
      </c>
      <c r="L92" s="32">
        <f>IF(AND(F92&gt;0,J92&gt;0),J92/F92,"-")</f>
        <v>0.35625261950455517</v>
      </c>
    </row>
    <row r="93" spans="1:12" s="5" customFormat="1" ht="31.5">
      <c r="A93" s="45" t="s">
        <v>186</v>
      </c>
      <c r="B93" s="77" t="s">
        <v>187</v>
      </c>
      <c r="C93" s="45" t="s">
        <v>5</v>
      </c>
      <c r="D93" s="48"/>
      <c r="E93" s="48"/>
      <c r="F93" s="49"/>
      <c r="G93" s="49"/>
      <c r="H93" s="48"/>
      <c r="I93" s="36"/>
      <c r="J93" s="48"/>
      <c r="K93" s="88"/>
      <c r="L93" s="32" t="str">
        <f>IF(AND(F93&gt;0,J93&gt;0),J93/F93,"-")</f>
        <v>-</v>
      </c>
    </row>
    <row r="94" spans="1:12" s="5" customFormat="1" ht="78.75">
      <c r="A94" s="45" t="s">
        <v>97</v>
      </c>
      <c r="B94" s="89" t="s">
        <v>190</v>
      </c>
      <c r="C94" s="45" t="s">
        <v>5</v>
      </c>
      <c r="D94" s="48"/>
      <c r="E94" s="48"/>
      <c r="F94" s="49"/>
      <c r="G94" s="49"/>
      <c r="H94" s="48"/>
      <c r="I94" s="36"/>
      <c r="J94" s="48"/>
      <c r="K94" s="88"/>
      <c r="L94" s="32" t="str">
        <f>IF(AND(F94&gt;0,J94&gt;0),J94/F94,"-")</f>
        <v>-</v>
      </c>
    </row>
    <row r="95" spans="1:12" s="5" customFormat="1" ht="15.75">
      <c r="A95" s="45" t="s">
        <v>108</v>
      </c>
      <c r="B95" s="47" t="s">
        <v>109</v>
      </c>
      <c r="C95" s="45" t="s">
        <v>5</v>
      </c>
      <c r="D95" s="48"/>
      <c r="E95" s="48"/>
      <c r="F95" s="49"/>
      <c r="G95" s="49"/>
      <c r="H95" s="48"/>
      <c r="I95" s="36"/>
      <c r="J95" s="48"/>
      <c r="K95" s="88"/>
      <c r="L95" s="32" t="str">
        <f>IF(AND(F95&gt;0,J95&gt;0),J95/F95,"-")</f>
        <v>-</v>
      </c>
    </row>
    <row r="96" spans="1:12" s="5" customFormat="1" ht="15.75">
      <c r="A96" s="45" t="s">
        <v>110</v>
      </c>
      <c r="B96" s="47" t="s">
        <v>218</v>
      </c>
      <c r="C96" s="45" t="s">
        <v>5</v>
      </c>
      <c r="D96" s="48"/>
      <c r="E96" s="48"/>
      <c r="F96" s="49"/>
      <c r="G96" s="49"/>
      <c r="H96" s="48"/>
      <c r="I96" s="36"/>
      <c r="J96" s="48"/>
      <c r="K96" s="88"/>
      <c r="L96" s="32"/>
    </row>
    <row r="97" spans="1:12" s="5" customFormat="1" ht="157.5">
      <c r="A97" s="45" t="s">
        <v>111</v>
      </c>
      <c r="B97" s="47" t="s">
        <v>17</v>
      </c>
      <c r="C97" s="45" t="s">
        <v>5</v>
      </c>
      <c r="D97" s="48">
        <v>225.069</v>
      </c>
      <c r="E97" s="48">
        <v>113.76</v>
      </c>
      <c r="F97" s="49">
        <v>225.069</v>
      </c>
      <c r="G97" s="49">
        <v>145</v>
      </c>
      <c r="H97" s="49">
        <v>144.97</v>
      </c>
      <c r="I97" s="36" t="s">
        <v>245</v>
      </c>
      <c r="J97" s="48">
        <v>144.97</v>
      </c>
      <c r="K97" s="88" t="s">
        <v>233</v>
      </c>
      <c r="L97" s="32">
        <f>IF(AND(F97&gt;0,J97&gt;0),J97/F97,"-")</f>
        <v>0.6441135829456744</v>
      </c>
    </row>
    <row r="98" spans="1:12" s="5" customFormat="1" ht="47.25">
      <c r="A98" s="45" t="s">
        <v>112</v>
      </c>
      <c r="B98" s="47" t="s">
        <v>191</v>
      </c>
      <c r="C98" s="45" t="s">
        <v>5</v>
      </c>
      <c r="D98" s="48"/>
      <c r="E98" s="48"/>
      <c r="F98" s="49"/>
      <c r="G98" s="49"/>
      <c r="H98" s="48"/>
      <c r="I98" s="36"/>
      <c r="J98" s="48"/>
      <c r="K98" s="88"/>
      <c r="L98" s="32" t="str">
        <f>IF(AND(F98&gt;0,J98&gt;0),J98/F98,"-")</f>
        <v>-</v>
      </c>
    </row>
    <row r="99" spans="1:13" s="5" customFormat="1" ht="110.25">
      <c r="A99" s="45" t="s">
        <v>217</v>
      </c>
      <c r="B99" s="47" t="s">
        <v>192</v>
      </c>
      <c r="C99" s="45" t="s">
        <v>5</v>
      </c>
      <c r="D99" s="48">
        <v>78.6</v>
      </c>
      <c r="E99" s="48">
        <v>294.497</v>
      </c>
      <c r="F99" s="49">
        <v>426.975</v>
      </c>
      <c r="G99" s="49">
        <v>573.9</v>
      </c>
      <c r="H99" s="49">
        <v>573.9</v>
      </c>
      <c r="I99" s="36" t="s">
        <v>246</v>
      </c>
      <c r="J99" s="48">
        <v>573.9</v>
      </c>
      <c r="K99" s="88" t="s">
        <v>242</v>
      </c>
      <c r="L99" s="32">
        <f>IF(AND(F99&gt;0,J99&gt;0),J99/F99,"-")</f>
        <v>1.3441067978218864</v>
      </c>
      <c r="M99" s="16"/>
    </row>
    <row r="100" spans="1:12" ht="31.5">
      <c r="A100" s="64" t="s">
        <v>68</v>
      </c>
      <c r="B100" s="65" t="s">
        <v>166</v>
      </c>
      <c r="C100" s="33" t="s">
        <v>5</v>
      </c>
      <c r="D100" s="34">
        <f>ROUND(D101,1)+ROUND(D113,1)+ROUND(D126,1)+ROUND(D129,1)+ROUND(D132,1)+ROUND(D135,1)+ROUND(D138,1)+ROUND(D139,1)</f>
        <v>0</v>
      </c>
      <c r="E100" s="34">
        <f>ROUND(E101,1)+ROUND(E113,1)+ROUND(E126,1)+ROUND(E129,1)+ROUND(E132,1)+ROUND(E135,1)+ROUND(E138,1)+ROUND(E139,1)</f>
        <v>0</v>
      </c>
      <c r="F100" s="34">
        <f>ROUND(F101,1)+ROUND(F113,1)+ROUND(F126,1)+ROUND(F129,1)+ROUND(F132,1)+ROUND(F135,1)+ROUND(F138,1)+ROUND(F139,1)</f>
        <v>0</v>
      </c>
      <c r="G100" s="35">
        <f>ROUND(G101,1)+ROUND(G113,1)+ROUND(G126,1)+ROUND(G129,1)+ROUND(G132,1)+ROUND(G135,1)+ROUND(G138,1)+ROUND(G139,1)</f>
        <v>0</v>
      </c>
      <c r="H100" s="34">
        <f>ROUND(H101,1)+ROUND(H113,1)+ROUND(H126,1)+ROUND(H129,1)+ROUND(H132,1)+ROUND(H135,1)+ROUND(H138,1)+ROUND(H139,1)</f>
        <v>0</v>
      </c>
      <c r="I100" s="36"/>
      <c r="J100" s="34">
        <f>ROUND(J101,1)+ROUND(J113,1)+ROUND(J126,1)+ROUND(J129,1)+ROUND(J132,1)+ROUND(J135,1)+ROUND(J138,1)+ROUND(J139,1)</f>
        <v>0</v>
      </c>
      <c r="K100" s="36"/>
      <c r="L100" s="32" t="str">
        <f>IF(AND(F100&gt;0,J100&gt;0),J100/F100,"-")</f>
        <v>-</v>
      </c>
    </row>
    <row r="101" spans="1:12" ht="15.75">
      <c r="A101" s="45" t="s">
        <v>98</v>
      </c>
      <c r="B101" s="90" t="s">
        <v>140</v>
      </c>
      <c r="C101" s="45" t="s">
        <v>5</v>
      </c>
      <c r="D101" s="48"/>
      <c r="E101" s="48"/>
      <c r="F101" s="49"/>
      <c r="G101" s="49"/>
      <c r="H101" s="48"/>
      <c r="I101" s="36"/>
      <c r="J101" s="48"/>
      <c r="K101" s="36"/>
      <c r="L101" s="32" t="str">
        <f>IF(AND(F101&gt;0,J101&gt;0),J101/F101,"-")</f>
        <v>-</v>
      </c>
    </row>
    <row r="102" spans="1:12" ht="15.75">
      <c r="A102" s="45"/>
      <c r="B102" s="71" t="s">
        <v>123</v>
      </c>
      <c r="C102" s="45" t="s">
        <v>136</v>
      </c>
      <c r="D102" s="48"/>
      <c r="E102" s="48"/>
      <c r="F102" s="49"/>
      <c r="G102" s="49"/>
      <c r="H102" s="48"/>
      <c r="I102" s="36"/>
      <c r="J102" s="48"/>
      <c r="K102" s="36"/>
      <c r="L102" s="32" t="str">
        <f>IF(AND(F102&gt;0,J102&gt;0),J102/F102,"-")</f>
        <v>-</v>
      </c>
    </row>
    <row r="103" spans="1:12" ht="15.75">
      <c r="A103" s="45"/>
      <c r="B103" s="80" t="s">
        <v>119</v>
      </c>
      <c r="C103" s="45" t="s">
        <v>136</v>
      </c>
      <c r="D103" s="48"/>
      <c r="E103" s="48"/>
      <c r="F103" s="49"/>
      <c r="G103" s="49"/>
      <c r="H103" s="48"/>
      <c r="I103" s="36"/>
      <c r="J103" s="48"/>
      <c r="K103" s="36"/>
      <c r="L103" s="32" t="str">
        <f>IF(AND(F103&gt;0,J103&gt;0),J103/F103,"-")</f>
        <v>-</v>
      </c>
    </row>
    <row r="104" spans="1:12" ht="15.75">
      <c r="A104" s="45"/>
      <c r="B104" s="80" t="s">
        <v>120</v>
      </c>
      <c r="C104" s="45" t="s">
        <v>136</v>
      </c>
      <c r="D104" s="48"/>
      <c r="E104" s="48"/>
      <c r="F104" s="49"/>
      <c r="G104" s="49"/>
      <c r="H104" s="48"/>
      <c r="I104" s="36"/>
      <c r="J104" s="48"/>
      <c r="K104" s="36"/>
      <c r="L104" s="32" t="str">
        <f>IF(AND(F104&gt;0,J104&gt;0),J104/F104,"-")</f>
        <v>-</v>
      </c>
    </row>
    <row r="105" spans="1:12" ht="15.75">
      <c r="A105" s="45"/>
      <c r="B105" s="80" t="s">
        <v>121</v>
      </c>
      <c r="C105" s="45" t="s">
        <v>136</v>
      </c>
      <c r="D105" s="48"/>
      <c r="E105" s="48"/>
      <c r="F105" s="49"/>
      <c r="G105" s="49"/>
      <c r="H105" s="48"/>
      <c r="I105" s="36"/>
      <c r="J105" s="48"/>
      <c r="K105" s="36"/>
      <c r="L105" s="32" t="str">
        <f>IF(AND(F105&gt;0,J105&gt;0),J105/F105,"-")</f>
        <v>-</v>
      </c>
    </row>
    <row r="106" spans="1:12" ht="15.75">
      <c r="A106" s="45"/>
      <c r="B106" s="80" t="s">
        <v>122</v>
      </c>
      <c r="C106" s="45" t="s">
        <v>136</v>
      </c>
      <c r="D106" s="48"/>
      <c r="E106" s="48"/>
      <c r="F106" s="49"/>
      <c r="G106" s="49"/>
      <c r="H106" s="48"/>
      <c r="I106" s="36"/>
      <c r="J106" s="48"/>
      <c r="K106" s="36"/>
      <c r="L106" s="32" t="str">
        <f>IF(AND(F106&gt;0,J106&gt;0),J106/F106,"-")</f>
        <v>-</v>
      </c>
    </row>
    <row r="107" spans="1:12" ht="15.75">
      <c r="A107" s="45"/>
      <c r="B107" s="80" t="s">
        <v>126</v>
      </c>
      <c r="C107" s="45"/>
      <c r="D107" s="48"/>
      <c r="E107" s="48"/>
      <c r="F107" s="49"/>
      <c r="G107" s="49"/>
      <c r="H107" s="48"/>
      <c r="I107" s="36"/>
      <c r="J107" s="48"/>
      <c r="K107" s="36"/>
      <c r="L107" s="32" t="str">
        <f>IF(AND(F107&gt;0,J107&gt;0),J107/F107,"-")</f>
        <v>-</v>
      </c>
    </row>
    <row r="108" spans="1:12" ht="15.75">
      <c r="A108" s="45"/>
      <c r="B108" s="71" t="s">
        <v>124</v>
      </c>
      <c r="C108" s="45"/>
      <c r="D108" s="48"/>
      <c r="E108" s="48"/>
      <c r="F108" s="49"/>
      <c r="G108" s="49"/>
      <c r="H108" s="48"/>
      <c r="I108" s="36"/>
      <c r="J108" s="48"/>
      <c r="K108" s="36"/>
      <c r="L108" s="32" t="str">
        <f>IF(AND(F108&gt;0,J108&gt;0),J108/F108,"-")</f>
        <v>-</v>
      </c>
    </row>
    <row r="109" spans="1:12" ht="15.75">
      <c r="A109" s="45"/>
      <c r="B109" s="80" t="s">
        <v>119</v>
      </c>
      <c r="C109" s="45" t="s">
        <v>28</v>
      </c>
      <c r="D109" s="48"/>
      <c r="E109" s="48"/>
      <c r="F109" s="49"/>
      <c r="G109" s="49"/>
      <c r="H109" s="48"/>
      <c r="I109" s="36"/>
      <c r="J109" s="48"/>
      <c r="K109" s="36"/>
      <c r="L109" s="32" t="str">
        <f>IF(AND(F109&gt;0,J109&gt;0),J109/F109,"-")</f>
        <v>-</v>
      </c>
    </row>
    <row r="110" spans="1:12" ht="15.75">
      <c r="A110" s="45"/>
      <c r="B110" s="80" t="s">
        <v>120</v>
      </c>
      <c r="C110" s="45" t="s">
        <v>28</v>
      </c>
      <c r="D110" s="48"/>
      <c r="E110" s="48"/>
      <c r="F110" s="49"/>
      <c r="G110" s="49"/>
      <c r="H110" s="48"/>
      <c r="I110" s="36"/>
      <c r="J110" s="48"/>
      <c r="K110" s="36"/>
      <c r="L110" s="32" t="str">
        <f>IF(AND(F110&gt;0,J110&gt;0),J110/F110,"-")</f>
        <v>-</v>
      </c>
    </row>
    <row r="111" spans="1:12" ht="15.75">
      <c r="A111" s="45"/>
      <c r="B111" s="80" t="s">
        <v>121</v>
      </c>
      <c r="C111" s="45" t="s">
        <v>28</v>
      </c>
      <c r="D111" s="48"/>
      <c r="E111" s="48"/>
      <c r="F111" s="49"/>
      <c r="G111" s="49"/>
      <c r="H111" s="48"/>
      <c r="I111" s="36"/>
      <c r="J111" s="48"/>
      <c r="K111" s="36"/>
      <c r="L111" s="32" t="str">
        <f>IF(AND(F111&gt;0,J111&gt;0),J111/F111,"-")</f>
        <v>-</v>
      </c>
    </row>
    <row r="112" spans="1:12" ht="15.75">
      <c r="A112" s="45"/>
      <c r="B112" s="80" t="s">
        <v>122</v>
      </c>
      <c r="C112" s="45" t="s">
        <v>28</v>
      </c>
      <c r="D112" s="48"/>
      <c r="E112" s="48"/>
      <c r="F112" s="49"/>
      <c r="G112" s="49"/>
      <c r="H112" s="48"/>
      <c r="I112" s="36"/>
      <c r="J112" s="48"/>
      <c r="K112" s="36"/>
      <c r="L112" s="32" t="str">
        <f>IF(AND(F112&gt;0,J112&gt;0),J112/F112,"-")</f>
        <v>-</v>
      </c>
    </row>
    <row r="113" spans="1:12" ht="15.75">
      <c r="A113" s="45" t="s">
        <v>99</v>
      </c>
      <c r="B113" s="90" t="s">
        <v>139</v>
      </c>
      <c r="C113" s="45" t="s">
        <v>5</v>
      </c>
      <c r="D113" s="48"/>
      <c r="E113" s="48"/>
      <c r="F113" s="49"/>
      <c r="G113" s="49"/>
      <c r="H113" s="48"/>
      <c r="I113" s="36"/>
      <c r="J113" s="48"/>
      <c r="K113" s="36"/>
      <c r="L113" s="32" t="str">
        <f>IF(AND(F113&gt;0,J113&gt;0),J113/F113,"-")</f>
        <v>-</v>
      </c>
    </row>
    <row r="114" spans="1:12" ht="15.75">
      <c r="A114" s="45"/>
      <c r="B114" s="67" t="s">
        <v>125</v>
      </c>
      <c r="C114" s="45"/>
      <c r="D114" s="48"/>
      <c r="E114" s="48"/>
      <c r="F114" s="49"/>
      <c r="G114" s="49"/>
      <c r="H114" s="48"/>
      <c r="I114" s="36"/>
      <c r="J114" s="48"/>
      <c r="K114" s="36"/>
      <c r="L114" s="32" t="str">
        <f>IF(AND(F114&gt;0,J114&gt;0),J114/F114,"-")</f>
        <v>-</v>
      </c>
    </row>
    <row r="115" spans="1:12" ht="15.75">
      <c r="A115" s="45"/>
      <c r="B115" s="80" t="s">
        <v>119</v>
      </c>
      <c r="C115" s="45" t="s">
        <v>137</v>
      </c>
      <c r="D115" s="48"/>
      <c r="E115" s="48"/>
      <c r="F115" s="49"/>
      <c r="G115" s="49"/>
      <c r="H115" s="48"/>
      <c r="I115" s="36"/>
      <c r="J115" s="48"/>
      <c r="K115" s="36"/>
      <c r="L115" s="32" t="str">
        <f>IF(AND(F115&gt;0,J115&gt;0),J115/F115,"-")</f>
        <v>-</v>
      </c>
    </row>
    <row r="116" spans="1:12" ht="15.75">
      <c r="A116" s="45"/>
      <c r="B116" s="80" t="s">
        <v>120</v>
      </c>
      <c r="C116" s="45" t="s">
        <v>137</v>
      </c>
      <c r="D116" s="48"/>
      <c r="E116" s="48"/>
      <c r="F116" s="49"/>
      <c r="G116" s="49"/>
      <c r="H116" s="48"/>
      <c r="I116" s="36"/>
      <c r="J116" s="48"/>
      <c r="K116" s="36"/>
      <c r="L116" s="32" t="str">
        <f>IF(AND(F116&gt;0,J116&gt;0),J116/F116,"-")</f>
        <v>-</v>
      </c>
    </row>
    <row r="117" spans="1:12" ht="15.75">
      <c r="A117" s="45"/>
      <c r="B117" s="80" t="s">
        <v>121</v>
      </c>
      <c r="C117" s="45" t="s">
        <v>137</v>
      </c>
      <c r="D117" s="48"/>
      <c r="E117" s="48"/>
      <c r="F117" s="49"/>
      <c r="G117" s="49"/>
      <c r="H117" s="48"/>
      <c r="I117" s="36"/>
      <c r="J117" s="48"/>
      <c r="K117" s="36"/>
      <c r="L117" s="32" t="str">
        <f>IF(AND(F117&gt;0,J117&gt;0),J117/F117,"-")</f>
        <v>-</v>
      </c>
    </row>
    <row r="118" spans="1:12" ht="15.75">
      <c r="A118" s="45"/>
      <c r="B118" s="80" t="s">
        <v>122</v>
      </c>
      <c r="C118" s="45" t="s">
        <v>137</v>
      </c>
      <c r="D118" s="48"/>
      <c r="E118" s="48"/>
      <c r="F118" s="49"/>
      <c r="G118" s="49"/>
      <c r="H118" s="48"/>
      <c r="I118" s="36"/>
      <c r="J118" s="48"/>
      <c r="K118" s="36"/>
      <c r="L118" s="32" t="str">
        <f>IF(AND(F118&gt;0,J118&gt;0),J118/F118,"-")</f>
        <v>-</v>
      </c>
    </row>
    <row r="119" spans="1:12" ht="15.75">
      <c r="A119" s="45"/>
      <c r="B119" s="80" t="s">
        <v>126</v>
      </c>
      <c r="C119" s="45" t="s">
        <v>137</v>
      </c>
      <c r="D119" s="48"/>
      <c r="E119" s="48"/>
      <c r="F119" s="49"/>
      <c r="G119" s="49"/>
      <c r="H119" s="48"/>
      <c r="I119" s="36"/>
      <c r="J119" s="48"/>
      <c r="K119" s="36"/>
      <c r="L119" s="32" t="str">
        <f>IF(AND(F119&gt;0,J119&gt;0),J119/F119,"-")</f>
        <v>-</v>
      </c>
    </row>
    <row r="120" spans="1:12" ht="15.75">
      <c r="A120" s="45"/>
      <c r="B120" s="67" t="s">
        <v>127</v>
      </c>
      <c r="C120" s="18"/>
      <c r="D120" s="48"/>
      <c r="E120" s="48"/>
      <c r="F120" s="49"/>
      <c r="G120" s="49"/>
      <c r="H120" s="48"/>
      <c r="I120" s="36"/>
      <c r="J120" s="48"/>
      <c r="K120" s="36"/>
      <c r="L120" s="32" t="str">
        <f>IF(AND(F120&gt;0,J120&gt;0),J120/F120,"-")</f>
        <v>-</v>
      </c>
    </row>
    <row r="121" spans="1:12" ht="15.75">
      <c r="A121" s="45"/>
      <c r="B121" s="80" t="s">
        <v>119</v>
      </c>
      <c r="C121" s="18" t="s">
        <v>138</v>
      </c>
      <c r="D121" s="48"/>
      <c r="E121" s="48"/>
      <c r="F121" s="49"/>
      <c r="G121" s="49"/>
      <c r="H121" s="48"/>
      <c r="I121" s="36"/>
      <c r="J121" s="48"/>
      <c r="K121" s="36"/>
      <c r="L121" s="32" t="str">
        <f>IF(AND(F121&gt;0,J121&gt;0),J121/F121,"-")</f>
        <v>-</v>
      </c>
    </row>
    <row r="122" spans="1:12" ht="15.75">
      <c r="A122" s="45"/>
      <c r="B122" s="80" t="s">
        <v>120</v>
      </c>
      <c r="C122" s="18" t="s">
        <v>138</v>
      </c>
      <c r="D122" s="48"/>
      <c r="E122" s="48"/>
      <c r="F122" s="49"/>
      <c r="G122" s="49"/>
      <c r="H122" s="48"/>
      <c r="I122" s="36"/>
      <c r="J122" s="48"/>
      <c r="K122" s="36"/>
      <c r="L122" s="32" t="str">
        <f>IF(AND(F122&gt;0,J122&gt;0),J122/F122,"-")</f>
        <v>-</v>
      </c>
    </row>
    <row r="123" spans="1:12" ht="15.75">
      <c r="A123" s="45"/>
      <c r="B123" s="80" t="s">
        <v>121</v>
      </c>
      <c r="C123" s="18" t="s">
        <v>138</v>
      </c>
      <c r="D123" s="48"/>
      <c r="E123" s="48"/>
      <c r="F123" s="49"/>
      <c r="G123" s="49"/>
      <c r="H123" s="48"/>
      <c r="I123" s="36"/>
      <c r="J123" s="48"/>
      <c r="K123" s="36"/>
      <c r="L123" s="32" t="str">
        <f>IF(AND(F123&gt;0,J123&gt;0),J123/F123,"-")</f>
        <v>-</v>
      </c>
    </row>
    <row r="124" spans="1:12" ht="15.75">
      <c r="A124" s="45"/>
      <c r="B124" s="80" t="s">
        <v>122</v>
      </c>
      <c r="C124" s="18" t="s">
        <v>138</v>
      </c>
      <c r="D124" s="48"/>
      <c r="E124" s="48"/>
      <c r="F124" s="49"/>
      <c r="G124" s="49"/>
      <c r="H124" s="48"/>
      <c r="I124" s="36"/>
      <c r="J124" s="48"/>
      <c r="K124" s="36"/>
      <c r="L124" s="32" t="str">
        <f>IF(AND(F124&gt;0,J124&gt;0),J124/F124,"-")</f>
        <v>-</v>
      </c>
    </row>
    <row r="125" spans="1:12" ht="15.75">
      <c r="A125" s="45"/>
      <c r="B125" s="80" t="s">
        <v>126</v>
      </c>
      <c r="C125" s="18" t="s">
        <v>138</v>
      </c>
      <c r="D125" s="48"/>
      <c r="E125" s="48"/>
      <c r="F125" s="49"/>
      <c r="G125" s="49"/>
      <c r="H125" s="48"/>
      <c r="I125" s="36"/>
      <c r="J125" s="48"/>
      <c r="K125" s="36"/>
      <c r="L125" s="32" t="str">
        <f>IF(AND(F125&gt;0,J125&gt;0),J125/F125,"-")</f>
        <v>-</v>
      </c>
    </row>
    <row r="126" spans="1:12" s="5" customFormat="1" ht="15.75">
      <c r="A126" s="45" t="s">
        <v>100</v>
      </c>
      <c r="B126" s="77" t="s">
        <v>141</v>
      </c>
      <c r="C126" s="45" t="s">
        <v>5</v>
      </c>
      <c r="D126" s="48"/>
      <c r="E126" s="48"/>
      <c r="F126" s="49"/>
      <c r="G126" s="49"/>
      <c r="H126" s="48"/>
      <c r="I126" s="91"/>
      <c r="J126" s="48"/>
      <c r="K126" s="36"/>
      <c r="L126" s="32" t="str">
        <f>IF(AND(F126&gt;0,J126&gt;0),J126/F126,"-")</f>
        <v>-</v>
      </c>
    </row>
    <row r="127" spans="1:12" s="5" customFormat="1" ht="15.75">
      <c r="A127" s="45"/>
      <c r="B127" s="71" t="s">
        <v>53</v>
      </c>
      <c r="C127" s="45" t="s">
        <v>134</v>
      </c>
      <c r="D127" s="48"/>
      <c r="E127" s="48"/>
      <c r="F127" s="49"/>
      <c r="G127" s="49"/>
      <c r="H127" s="48"/>
      <c r="I127" s="91"/>
      <c r="J127" s="48"/>
      <c r="K127" s="36"/>
      <c r="L127" s="32" t="str">
        <f>IF(AND(F127&gt;0,J127&gt;0),J127/F127,"-")</f>
        <v>-</v>
      </c>
    </row>
    <row r="128" spans="1:12" s="5" customFormat="1" ht="15.75">
      <c r="A128" s="45"/>
      <c r="B128" s="71" t="s">
        <v>54</v>
      </c>
      <c r="C128" s="45" t="s">
        <v>55</v>
      </c>
      <c r="D128" s="48"/>
      <c r="E128" s="48"/>
      <c r="F128" s="49"/>
      <c r="G128" s="49"/>
      <c r="H128" s="48"/>
      <c r="I128" s="91"/>
      <c r="J128" s="48"/>
      <c r="K128" s="36"/>
      <c r="L128" s="32" t="str">
        <f>IF(AND(F128&gt;0,J128&gt;0),J128/F128,"-")</f>
        <v>-</v>
      </c>
    </row>
    <row r="129" spans="1:12" s="5" customFormat="1" ht="15.75">
      <c r="A129" s="45" t="s">
        <v>129</v>
      </c>
      <c r="B129" s="77" t="s">
        <v>142</v>
      </c>
      <c r="C129" s="45" t="s">
        <v>5</v>
      </c>
      <c r="D129" s="48"/>
      <c r="E129" s="48"/>
      <c r="F129" s="49"/>
      <c r="G129" s="49"/>
      <c r="H129" s="48"/>
      <c r="I129" s="91"/>
      <c r="J129" s="48"/>
      <c r="K129" s="36"/>
      <c r="L129" s="32" t="str">
        <f>IF(AND(F129&gt;0,J129&gt;0),J129/F129,"-")</f>
        <v>-</v>
      </c>
    </row>
    <row r="130" spans="1:12" s="5" customFormat="1" ht="15.75">
      <c r="A130" s="45"/>
      <c r="B130" s="71" t="s">
        <v>56</v>
      </c>
      <c r="C130" s="42" t="s">
        <v>135</v>
      </c>
      <c r="D130" s="48"/>
      <c r="E130" s="48"/>
      <c r="F130" s="49"/>
      <c r="G130" s="49"/>
      <c r="H130" s="48"/>
      <c r="I130" s="91"/>
      <c r="J130" s="48"/>
      <c r="K130" s="36"/>
      <c r="L130" s="32" t="str">
        <f>IF(AND(F130&gt;0,J130&gt;0),J130/F130,"-")</f>
        <v>-</v>
      </c>
    </row>
    <row r="131" spans="1:12" s="5" customFormat="1" ht="15.75">
      <c r="A131" s="45"/>
      <c r="B131" s="71" t="s">
        <v>57</v>
      </c>
      <c r="C131" s="45" t="s">
        <v>10</v>
      </c>
      <c r="D131" s="48"/>
      <c r="E131" s="48"/>
      <c r="F131" s="49"/>
      <c r="G131" s="49"/>
      <c r="H131" s="48"/>
      <c r="I131" s="91"/>
      <c r="J131" s="48"/>
      <c r="K131" s="36"/>
      <c r="L131" s="32" t="str">
        <f>IF(AND(F131&gt;0,J131&gt;0),J131/F131,"-")</f>
        <v>-</v>
      </c>
    </row>
    <row r="132" spans="1:12" s="5" customFormat="1" ht="15.75">
      <c r="A132" s="45" t="s">
        <v>130</v>
      </c>
      <c r="B132" s="77" t="s">
        <v>144</v>
      </c>
      <c r="C132" s="45" t="s">
        <v>5</v>
      </c>
      <c r="D132" s="48"/>
      <c r="E132" s="48"/>
      <c r="F132" s="49"/>
      <c r="G132" s="49"/>
      <c r="H132" s="48"/>
      <c r="I132" s="91"/>
      <c r="J132" s="48"/>
      <c r="K132" s="36"/>
      <c r="L132" s="32" t="str">
        <f>IF(AND(F132&gt;0,J132&gt;0),J132/F132,"-")</f>
        <v>-</v>
      </c>
    </row>
    <row r="133" spans="1:12" s="5" customFormat="1" ht="15.75">
      <c r="A133" s="45"/>
      <c r="B133" s="71" t="s">
        <v>29</v>
      </c>
      <c r="C133" s="42" t="s">
        <v>135</v>
      </c>
      <c r="D133" s="48"/>
      <c r="E133" s="48"/>
      <c r="F133" s="49"/>
      <c r="G133" s="49"/>
      <c r="H133" s="48"/>
      <c r="I133" s="91"/>
      <c r="J133" s="48"/>
      <c r="K133" s="36"/>
      <c r="L133" s="32" t="str">
        <f>IF(AND(F133&gt;0,J133&gt;0),J133/F133,"-")</f>
        <v>-</v>
      </c>
    </row>
    <row r="134" spans="1:12" s="5" customFormat="1" ht="15.75">
      <c r="A134" s="45"/>
      <c r="B134" s="71" t="s">
        <v>30</v>
      </c>
      <c r="C134" s="45" t="s">
        <v>10</v>
      </c>
      <c r="D134" s="48"/>
      <c r="E134" s="48"/>
      <c r="F134" s="49"/>
      <c r="G134" s="49"/>
      <c r="H134" s="48"/>
      <c r="I134" s="91"/>
      <c r="J134" s="48"/>
      <c r="K134" s="36"/>
      <c r="L134" s="32" t="str">
        <f>IF(AND(F134&gt;0,J134&gt;0),J134/F134,"-")</f>
        <v>-</v>
      </c>
    </row>
    <row r="135" spans="1:12" s="5" customFormat="1" ht="15.75">
      <c r="A135" s="45" t="s">
        <v>131</v>
      </c>
      <c r="B135" s="77" t="s">
        <v>143</v>
      </c>
      <c r="C135" s="45" t="s">
        <v>5</v>
      </c>
      <c r="D135" s="48"/>
      <c r="E135" s="48"/>
      <c r="F135" s="49"/>
      <c r="G135" s="49"/>
      <c r="H135" s="48"/>
      <c r="I135" s="91"/>
      <c r="J135" s="48"/>
      <c r="K135" s="36"/>
      <c r="L135" s="32" t="str">
        <f>IF(AND(F135&gt;0,J135&gt;0),J135/F135,"-")</f>
        <v>-</v>
      </c>
    </row>
    <row r="136" spans="1:12" s="5" customFormat="1" ht="15.75">
      <c r="A136" s="45"/>
      <c r="B136" s="71" t="s">
        <v>58</v>
      </c>
      <c r="C136" s="42" t="s">
        <v>135</v>
      </c>
      <c r="D136" s="48"/>
      <c r="E136" s="48"/>
      <c r="F136" s="49"/>
      <c r="G136" s="49"/>
      <c r="H136" s="48"/>
      <c r="I136" s="91"/>
      <c r="J136" s="48"/>
      <c r="K136" s="36"/>
      <c r="L136" s="32" t="str">
        <f>IF(AND(F136&gt;0,J136&gt;0),J136/F136,"-")</f>
        <v>-</v>
      </c>
    </row>
    <row r="137" spans="1:12" s="5" customFormat="1" ht="15.75">
      <c r="A137" s="45"/>
      <c r="B137" s="71" t="s">
        <v>59</v>
      </c>
      <c r="C137" s="45" t="s">
        <v>10</v>
      </c>
      <c r="D137" s="48"/>
      <c r="E137" s="48"/>
      <c r="F137" s="49"/>
      <c r="G137" s="49"/>
      <c r="H137" s="48"/>
      <c r="I137" s="91"/>
      <c r="J137" s="48"/>
      <c r="K137" s="36"/>
      <c r="L137" s="32" t="str">
        <f>IF(AND(F137&gt;0,J137&gt;0),J137/F137,"-")</f>
        <v>-</v>
      </c>
    </row>
    <row r="138" spans="1:12" s="5" customFormat="1" ht="15.75">
      <c r="A138" s="45" t="s">
        <v>132</v>
      </c>
      <c r="B138" s="77" t="s">
        <v>128</v>
      </c>
      <c r="C138" s="45" t="s">
        <v>5</v>
      </c>
      <c r="D138" s="48"/>
      <c r="E138" s="48"/>
      <c r="F138" s="49"/>
      <c r="G138" s="49"/>
      <c r="H138" s="48"/>
      <c r="I138" s="91"/>
      <c r="J138" s="48"/>
      <c r="K138" s="36"/>
      <c r="L138" s="32" t="str">
        <f>IF(AND(F138&gt;0,J138&gt;0),J138/F138,"-")</f>
        <v>-</v>
      </c>
    </row>
    <row r="139" spans="1:12" s="5" customFormat="1" ht="15.75">
      <c r="A139" s="45" t="s">
        <v>133</v>
      </c>
      <c r="B139" s="77" t="s">
        <v>194</v>
      </c>
      <c r="C139" s="45" t="s">
        <v>5</v>
      </c>
      <c r="D139" s="48"/>
      <c r="E139" s="48"/>
      <c r="F139" s="49"/>
      <c r="G139" s="49"/>
      <c r="H139" s="48"/>
      <c r="I139" s="91"/>
      <c r="J139" s="48"/>
      <c r="K139" s="36"/>
      <c r="L139" s="32" t="str">
        <f>IF(AND(F139&gt;0,J139&gt;0),J139/F139,"-")</f>
        <v>-</v>
      </c>
    </row>
    <row r="140" spans="1:12" s="5" customFormat="1" ht="94.5">
      <c r="A140" s="45" t="s">
        <v>42</v>
      </c>
      <c r="B140" s="92" t="s">
        <v>162</v>
      </c>
      <c r="C140" s="42" t="s">
        <v>5</v>
      </c>
      <c r="D140" s="43">
        <v>49.412</v>
      </c>
      <c r="E140" s="43">
        <v>24.97</v>
      </c>
      <c r="F140" s="35">
        <v>49.412</v>
      </c>
      <c r="G140" s="35">
        <v>31.1</v>
      </c>
      <c r="H140" s="43">
        <v>31.83</v>
      </c>
      <c r="I140" s="36" t="s">
        <v>247</v>
      </c>
      <c r="J140" s="43">
        <v>31.8</v>
      </c>
      <c r="K140" s="84" t="s">
        <v>230</v>
      </c>
      <c r="L140" s="32">
        <f>IF(AND(F140&gt;0,J140&gt;0),J140/F140,"-")</f>
        <v>0.6435683639601717</v>
      </c>
    </row>
    <row r="141" spans="1:12" s="5" customFormat="1" ht="15.75">
      <c r="A141" s="59" t="s">
        <v>43</v>
      </c>
      <c r="B141" s="60" t="s">
        <v>8</v>
      </c>
      <c r="C141" s="33" t="s">
        <v>5</v>
      </c>
      <c r="D141" s="34">
        <f>SUM(D142:D144)</f>
        <v>0</v>
      </c>
      <c r="E141" s="34">
        <f>SUM(E142:E144)</f>
        <v>0</v>
      </c>
      <c r="F141" s="34">
        <f>SUM(F142:F144)</f>
        <v>0</v>
      </c>
      <c r="G141" s="35">
        <f>SUM(G142:G144)</f>
        <v>0</v>
      </c>
      <c r="H141" s="34">
        <f>SUM(H142:H144)</f>
        <v>0</v>
      </c>
      <c r="I141" s="36"/>
      <c r="J141" s="34">
        <f>SUM(J142:J144)</f>
        <v>0</v>
      </c>
      <c r="K141" s="36"/>
      <c r="L141" s="32" t="str">
        <f>IF(AND(F141&gt;0,J141&gt;0),J141/F141,"-")</f>
        <v>-</v>
      </c>
    </row>
    <row r="142" spans="1:12" ht="47.25">
      <c r="A142" s="45" t="s">
        <v>101</v>
      </c>
      <c r="B142" s="53" t="s">
        <v>19</v>
      </c>
      <c r="C142" s="21" t="s">
        <v>5</v>
      </c>
      <c r="D142" s="43"/>
      <c r="E142" s="43"/>
      <c r="F142" s="35"/>
      <c r="G142" s="35"/>
      <c r="H142" s="43"/>
      <c r="I142" s="36"/>
      <c r="J142" s="43"/>
      <c r="K142" s="36"/>
      <c r="L142" s="32" t="str">
        <f>IF(AND(F142&gt;0,J142&gt;0),J142/F142,"-")</f>
        <v>-</v>
      </c>
    </row>
    <row r="143" spans="1:12" ht="110.25">
      <c r="A143" s="45" t="s">
        <v>102</v>
      </c>
      <c r="B143" s="53" t="s">
        <v>18</v>
      </c>
      <c r="C143" s="21" t="s">
        <v>5</v>
      </c>
      <c r="D143" s="43"/>
      <c r="E143" s="43"/>
      <c r="F143" s="35"/>
      <c r="G143" s="35"/>
      <c r="H143" s="43"/>
      <c r="I143" s="36"/>
      <c r="J143" s="43"/>
      <c r="K143" s="36"/>
      <c r="L143" s="32" t="str">
        <f>IF(AND(F143&gt;0,J143&gt;0),J143/F143,"-")</f>
        <v>-</v>
      </c>
    </row>
    <row r="144" spans="1:12" ht="78.75">
      <c r="A144" s="45" t="s">
        <v>103</v>
      </c>
      <c r="B144" s="53" t="s">
        <v>32</v>
      </c>
      <c r="C144" s="21" t="s">
        <v>5</v>
      </c>
      <c r="D144" s="43"/>
      <c r="E144" s="43"/>
      <c r="F144" s="35"/>
      <c r="G144" s="35"/>
      <c r="H144" s="43"/>
      <c r="I144" s="36"/>
      <c r="J144" s="43"/>
      <c r="K144" s="36"/>
      <c r="L144" s="32" t="str">
        <f>IF(AND(F144&gt;0,J144&gt;0),J144/F144,"-")</f>
        <v>-</v>
      </c>
    </row>
    <row r="145" spans="1:12" s="5" customFormat="1" ht="94.5">
      <c r="A145" s="45" t="s">
        <v>44</v>
      </c>
      <c r="B145" s="47" t="s">
        <v>163</v>
      </c>
      <c r="C145" s="45" t="s">
        <v>5</v>
      </c>
      <c r="D145" s="48">
        <v>142.549</v>
      </c>
      <c r="E145" s="48">
        <v>78.2</v>
      </c>
      <c r="F145" s="49">
        <v>147.198</v>
      </c>
      <c r="G145" s="49">
        <f>(G140+G99+G97+G91+G92+G90+G89+G36)*5/100</f>
        <v>175.33689999999999</v>
      </c>
      <c r="H145" s="49">
        <f>(H36+H89+H90+H92+H97+H99+H140+H91)*5/100</f>
        <v>158.40885</v>
      </c>
      <c r="I145" s="36" t="s">
        <v>261</v>
      </c>
      <c r="J145" s="49">
        <f>(J36+J89+J90+J92+J97+J99+J140+J91)*5/100</f>
        <v>157.475155</v>
      </c>
      <c r="K145" s="88" t="s">
        <v>270</v>
      </c>
      <c r="L145" s="32">
        <f>IF(AND(F145&gt;0,J145&gt;0),J145/F145,"-")</f>
        <v>1.0698185776980664</v>
      </c>
    </row>
    <row r="146" spans="1:12" s="5" customFormat="1" ht="78.75">
      <c r="A146" s="45" t="s">
        <v>45</v>
      </c>
      <c r="B146" s="47" t="s">
        <v>219</v>
      </c>
      <c r="C146" s="45" t="s">
        <v>5</v>
      </c>
      <c r="D146" s="48"/>
      <c r="E146" s="48"/>
      <c r="F146" s="49"/>
      <c r="G146" s="49"/>
      <c r="H146" s="48"/>
      <c r="I146" s="36"/>
      <c r="J146" s="48"/>
      <c r="K146" s="36"/>
      <c r="L146" s="32" t="str">
        <f>IF(AND(F146&gt;0,J146&gt;0),J146/F146,"-")</f>
        <v>-</v>
      </c>
    </row>
    <row r="147" spans="1:12" s="5" customFormat="1" ht="47.25">
      <c r="A147" s="45" t="s">
        <v>46</v>
      </c>
      <c r="B147" s="47" t="s">
        <v>195</v>
      </c>
      <c r="C147" s="45" t="s">
        <v>5</v>
      </c>
      <c r="D147" s="48"/>
      <c r="E147" s="48"/>
      <c r="F147" s="49"/>
      <c r="G147" s="49"/>
      <c r="H147" s="48"/>
      <c r="I147" s="36"/>
      <c r="J147" s="48"/>
      <c r="K147" s="36"/>
      <c r="L147" s="32" t="str">
        <f>IF(AND(F147&gt;0,J147&gt;0),J147/F147,"-")</f>
        <v>-</v>
      </c>
    </row>
    <row r="148" spans="1:12" s="5" customFormat="1" ht="126">
      <c r="A148" s="45" t="s">
        <v>65</v>
      </c>
      <c r="B148" s="47" t="s">
        <v>221</v>
      </c>
      <c r="C148" s="45" t="s">
        <v>5</v>
      </c>
      <c r="D148" s="48"/>
      <c r="E148" s="48"/>
      <c r="F148" s="49"/>
      <c r="G148" s="49"/>
      <c r="H148" s="49">
        <v>357.5</v>
      </c>
      <c r="I148" s="36" t="s">
        <v>238</v>
      </c>
      <c r="J148" s="48">
        <v>357.5</v>
      </c>
      <c r="K148" s="88" t="s">
        <v>232</v>
      </c>
      <c r="L148" s="32"/>
    </row>
    <row r="149" spans="1:12" s="5" customFormat="1" ht="126">
      <c r="A149" s="45" t="s">
        <v>205</v>
      </c>
      <c r="B149" s="47" t="s">
        <v>222</v>
      </c>
      <c r="C149" s="45" t="s">
        <v>5</v>
      </c>
      <c r="D149" s="48"/>
      <c r="E149" s="48"/>
      <c r="F149" s="49"/>
      <c r="G149" s="49"/>
      <c r="H149" s="48"/>
      <c r="I149" s="36"/>
      <c r="J149" s="48"/>
      <c r="K149" s="36"/>
      <c r="L149" s="32"/>
    </row>
    <row r="150" spans="1:12" s="5" customFormat="1" ht="63">
      <c r="A150" s="45" t="s">
        <v>206</v>
      </c>
      <c r="B150" s="47" t="s">
        <v>220</v>
      </c>
      <c r="C150" s="45" t="s">
        <v>5</v>
      </c>
      <c r="D150" s="48"/>
      <c r="E150" s="48"/>
      <c r="F150" s="49"/>
      <c r="G150" s="49"/>
      <c r="H150" s="48"/>
      <c r="I150" s="36"/>
      <c r="J150" s="48"/>
      <c r="K150" s="36"/>
      <c r="L150" s="32"/>
    </row>
    <row r="151" spans="1:12" s="5" customFormat="1" ht="31.5">
      <c r="A151" s="42" t="s">
        <v>223</v>
      </c>
      <c r="B151" s="93" t="str">
        <f>IF($C$34="да","Необходимая валовая выручка (без учета НДС)","Необходимая валовая выручка (НДС не облагается)")</f>
        <v>Необходимая валовая выручка (без учета НДС)</v>
      </c>
      <c r="C151" s="33" t="s">
        <v>5</v>
      </c>
      <c r="D151" s="34">
        <f>ROUND(D35,1)+ROUND(D140,1)+ROUND(D141,1)+ROUND(D145,1)+ROUND(D146,1)+ROUND(D147,1)+ROUND(D148,1)+ROUND(D149,1)+ROUND(D150,1)</f>
        <v>2993.4</v>
      </c>
      <c r="E151" s="34">
        <f>ROUND(E35,1)+ROUND(E140,1)+ROUND(E141,1)+ROUND(E145,1)+ROUND(E146,1)+ROUND(E147,1)+ROUND(E148,1)+ROUND(E149,1)+ROUND(E150,1)</f>
        <v>1642.7</v>
      </c>
      <c r="F151" s="34">
        <f>ROUND(F35,1)+ROUND(F140,1)+ROUND(F141,1)+ROUND(F145,1)+ROUND(F146,1)+ROUND(F147,1)+ROUND(F148,1)+ROUND(F149,1)+ROUND(F150,1)</f>
        <v>3525.9</v>
      </c>
      <c r="G151" s="35">
        <f>ROUND(G35,1)+ROUND(G140,1)+ROUND(G141,1)+ROUND(G145,1)+ROUND(G146,1)+ROUND(G147,1)+ROUND(G148,1)+ROUND(G149,1)+ROUND(G150,1)</f>
        <v>3682</v>
      </c>
      <c r="H151" s="34">
        <f>ROUND(H35,1)+ROUND(H140,1)+ROUND(H141,1)+ROUND(H145,1)+ROUND(H146,1)+ROUND(H147,1)+ROUND(H148,1)+ROUND(H149,1)+ROUND(H150,1)</f>
        <v>3684.1000000000004</v>
      </c>
      <c r="I151" s="36" t="s">
        <v>105</v>
      </c>
      <c r="J151" s="34">
        <f>ROUND(J35,1)+ROUND(J140,1)+ROUND(J141,1)+ROUND(J145,1)+ROUND(J146,1)+ROUND(J147,1)+ROUND(J148,1)+ROUND(J149,1)+ROUND(J150,1)</f>
        <v>3664.5</v>
      </c>
      <c r="K151" s="36" t="s">
        <v>105</v>
      </c>
      <c r="L151" s="32">
        <f>IF(AND(F151&gt;0,J151&gt;0),J151/F151,"-")</f>
        <v>1.0393091125670042</v>
      </c>
    </row>
    <row r="152" spans="1:12" s="5" customFormat="1" ht="63">
      <c r="A152" s="42" t="s">
        <v>224</v>
      </c>
      <c r="B152" s="94" t="str">
        <f>IF($C$34="Да","Тариф (без учета НДС)","Тариф (НДС не облагается)")</f>
        <v>Тариф (без учета НДС)</v>
      </c>
      <c r="C152" s="95" t="s">
        <v>10</v>
      </c>
      <c r="D152" s="96">
        <f>ROUND(D151,1)/ROUND(D17,1)*1000</f>
        <v>78.90241973746639</v>
      </c>
      <c r="E152" s="96">
        <f>ROUND(E151,1)/ROUND(E17,1)*1000</f>
        <v>85.79860022981302</v>
      </c>
      <c r="F152" s="96">
        <f>ROUND(F151,1)/ROUND(F17,1)*1000</f>
        <v>92.93847857029891</v>
      </c>
      <c r="G152" s="97">
        <f>ROUND(G151,1)/ROUND(G17,1)*1000</f>
        <v>97.05308661500342</v>
      </c>
      <c r="H152" s="96">
        <f>ROUND(H151,1)/ROUND(H17,1)*1000</f>
        <v>97.10844008645685</v>
      </c>
      <c r="I152" s="36" t="s">
        <v>198</v>
      </c>
      <c r="J152" s="96">
        <f>ROUND(J151,1)/ROUND(J17,1)*1000</f>
        <v>96.5918076862249</v>
      </c>
      <c r="K152" s="36" t="s">
        <v>199</v>
      </c>
      <c r="L152" s="32">
        <f>IF(AND(F152&gt;0,J152&gt;0),J152/F152,"-")</f>
        <v>1.0393091125670042</v>
      </c>
    </row>
    <row r="153" spans="1:12" s="5" customFormat="1" ht="63">
      <c r="A153" s="42" t="s">
        <v>225</v>
      </c>
      <c r="B153" s="94" t="str">
        <f>IF($C$34="Да","Тариф (без учета НДС)","Тариф (НДС не облагается)")</f>
        <v>Тариф (без учета НДС)</v>
      </c>
      <c r="C153" s="95" t="s">
        <v>164</v>
      </c>
      <c r="D153" s="96">
        <f>ROUND(D151,1)/ROUND(D18,1)*1000</f>
        <v>315.60967894986555</v>
      </c>
      <c r="E153" s="96">
        <f>ROUND(E151,1)/ROUND(E18,1)*1000</f>
        <v>365.1255834629918</v>
      </c>
      <c r="F153" s="96">
        <f>ROUND(F151,1)/ROUND(F18,1)*1000</f>
        <v>371.75391428119565</v>
      </c>
      <c r="G153" s="97">
        <f>ROUND(G151,1)/ROUND(G18,1)*1000</f>
        <v>388.2123464600137</v>
      </c>
      <c r="H153" s="96">
        <f>ROUND(H151,1)/ROUND(H18,1)*1000</f>
        <v>388.4337603458274</v>
      </c>
      <c r="I153" s="36" t="s">
        <v>200</v>
      </c>
      <c r="J153" s="96">
        <f>ROUND(J151,1)/ROUND(J18,1)*1000</f>
        <v>386.3672307448996</v>
      </c>
      <c r="K153" s="36" t="s">
        <v>201</v>
      </c>
      <c r="L153" s="32">
        <f>IF(AND(F153&gt;0,J153&gt;0),J153/F153,"-")</f>
        <v>1.0393091125670042</v>
      </c>
    </row>
    <row r="154" spans="1:12" ht="15.75">
      <c r="A154" s="42"/>
      <c r="B154" s="98" t="s">
        <v>9</v>
      </c>
      <c r="C154" s="42" t="s">
        <v>2</v>
      </c>
      <c r="D154" s="42"/>
      <c r="E154" s="42"/>
      <c r="F154" s="70">
        <f>F152/D152</f>
        <v>1.1778913609941872</v>
      </c>
      <c r="G154" s="69"/>
      <c r="H154" s="70">
        <f>H152/F152</f>
        <v>1.0448679769704188</v>
      </c>
      <c r="I154" s="92"/>
      <c r="J154" s="70">
        <f>J152/F152</f>
        <v>1.0393091125670042</v>
      </c>
      <c r="K154" s="92"/>
      <c r="L154" s="99"/>
    </row>
    <row r="155" spans="1:12" ht="15.75">
      <c r="A155" s="24"/>
      <c r="B155" s="24"/>
      <c r="C155" s="24"/>
      <c r="D155" s="24"/>
      <c r="E155" s="24"/>
      <c r="F155" s="24"/>
      <c r="G155" s="25"/>
      <c r="H155" s="24"/>
      <c r="I155" s="100"/>
      <c r="J155" s="24"/>
      <c r="K155" s="100"/>
      <c r="L155" s="100"/>
    </row>
    <row r="156" spans="1:12" ht="15.75">
      <c r="A156" s="24"/>
      <c r="B156" s="24"/>
      <c r="C156" s="24"/>
      <c r="D156" s="24"/>
      <c r="E156" s="24"/>
      <c r="F156" s="24"/>
      <c r="G156" s="25"/>
      <c r="H156" s="24"/>
      <c r="I156" s="100"/>
      <c r="J156" s="24"/>
      <c r="K156" s="100"/>
      <c r="L156" s="100"/>
    </row>
    <row r="157" spans="1:12" ht="15.75">
      <c r="A157" s="24"/>
      <c r="B157" s="24"/>
      <c r="C157" s="24"/>
      <c r="D157" s="24"/>
      <c r="E157" s="24"/>
      <c r="F157" s="24"/>
      <c r="G157" s="25"/>
      <c r="H157" s="24"/>
      <c r="I157" s="100"/>
      <c r="J157" s="24"/>
      <c r="K157" s="100"/>
      <c r="L157" s="100"/>
    </row>
    <row r="158" spans="1:12" ht="15.75">
      <c r="A158" s="24" t="s">
        <v>106</v>
      </c>
      <c r="B158" s="24"/>
      <c r="C158" s="24"/>
      <c r="D158" s="101"/>
      <c r="E158" s="24"/>
      <c r="F158" s="24"/>
      <c r="G158" s="25"/>
      <c r="H158" s="24"/>
      <c r="I158" s="125" t="s">
        <v>250</v>
      </c>
      <c r="J158" s="125"/>
      <c r="K158" s="100"/>
      <c r="L158" s="100"/>
    </row>
    <row r="159" spans="1:12" ht="15.75">
      <c r="A159" s="24"/>
      <c r="B159" s="24"/>
      <c r="C159" s="24"/>
      <c r="D159" s="24"/>
      <c r="E159" s="24"/>
      <c r="F159" s="24"/>
      <c r="G159" s="25"/>
      <c r="H159" s="24"/>
      <c r="I159" s="100"/>
      <c r="J159" s="24"/>
      <c r="K159" s="100"/>
      <c r="L159" s="100"/>
    </row>
    <row r="171" spans="1:12" s="5" customFormat="1" ht="78.75">
      <c r="A171" s="45" t="s">
        <v>117</v>
      </c>
      <c r="B171" s="77" t="s">
        <v>60</v>
      </c>
      <c r="C171" s="45" t="s">
        <v>5</v>
      </c>
      <c r="D171" s="48">
        <v>83.04</v>
      </c>
      <c r="E171" s="48">
        <v>45.6</v>
      </c>
      <c r="F171" s="49">
        <v>85.746</v>
      </c>
      <c r="G171" s="49">
        <f>(G116+G169+G170+G172+G177+G179+G220)*6/100/2</f>
        <v>0</v>
      </c>
      <c r="H171" s="102">
        <f>(H116+H169+H170+H172+H177+H179+H220)*6/100/2</f>
        <v>0</v>
      </c>
      <c r="I171" s="36" t="s">
        <v>259</v>
      </c>
      <c r="J171" s="35">
        <f>(J116+J169+J170+J172+J179+J220+J177)*6/100/2</f>
        <v>0</v>
      </c>
      <c r="K171" s="88" t="s">
        <v>260</v>
      </c>
      <c r="L171" s="32" t="str">
        <f>IF(AND(F171&gt;0,J171&gt;0),J171/F171,"-")</f>
        <v>-</v>
      </c>
    </row>
    <row r="174" spans="1:12" s="5" customFormat="1" ht="78.75">
      <c r="A174" s="45" t="s">
        <v>44</v>
      </c>
      <c r="B174" s="47" t="s">
        <v>163</v>
      </c>
      <c r="C174" s="45" t="s">
        <v>5</v>
      </c>
      <c r="D174" s="48">
        <v>142.549</v>
      </c>
      <c r="E174" s="48">
        <v>78.2</v>
      </c>
      <c r="F174" s="49">
        <v>147.198</v>
      </c>
      <c r="G174" s="49">
        <f>(G169+G128+G126+G120+G121+G119+G118+G65)*5/100</f>
        <v>1.335</v>
      </c>
      <c r="H174" s="102">
        <f>(H65+H118+H119+H121+H126+H128+H169+H120)*5/100</f>
        <v>1.2200000000000002</v>
      </c>
      <c r="I174" s="36" t="s">
        <v>261</v>
      </c>
      <c r="J174" s="102">
        <f>(J65+J118+J119+J121+J126+J128+J169+J120)*5/100</f>
        <v>1.1981475000000001</v>
      </c>
      <c r="K174" s="88" t="s">
        <v>263</v>
      </c>
      <c r="L174" s="32">
        <f>IF(AND(F174&gt;0,J174&gt;0),J174/F174,"-")</f>
        <v>0.008139699588309623</v>
      </c>
    </row>
  </sheetData>
  <sheetProtection/>
  <mergeCells count="31">
    <mergeCell ref="D12:E12"/>
    <mergeCell ref="A27:A28"/>
    <mergeCell ref="B27:B28"/>
    <mergeCell ref="A29:A30"/>
    <mergeCell ref="B29:B30"/>
    <mergeCell ref="K39:K40"/>
    <mergeCell ref="A17:A19"/>
    <mergeCell ref="L12:L14"/>
    <mergeCell ref="D13:E13"/>
    <mergeCell ref="F13:G13"/>
    <mergeCell ref="I158:J158"/>
    <mergeCell ref="A20:A21"/>
    <mergeCell ref="B20:B21"/>
    <mergeCell ref="A22:A23"/>
    <mergeCell ref="B22:B23"/>
    <mergeCell ref="A25:A26"/>
    <mergeCell ref="B25:B26"/>
    <mergeCell ref="E3:J3"/>
    <mergeCell ref="F4:I4"/>
    <mergeCell ref="F5:I5"/>
    <mergeCell ref="C6:K6"/>
    <mergeCell ref="C7:K7"/>
    <mergeCell ref="I12:I14"/>
    <mergeCell ref="K12:K14"/>
    <mergeCell ref="D9:G9"/>
    <mergeCell ref="H9:J9"/>
    <mergeCell ref="F12:G12"/>
    <mergeCell ref="A12:A14"/>
    <mergeCell ref="B12:B14"/>
    <mergeCell ref="C12:C14"/>
    <mergeCell ref="B17:B18"/>
  </mergeCells>
  <dataValidations count="2">
    <dataValidation type="list" allowBlank="1" showInputMessage="1" showErrorMessage="1" sqref="F4">
      <formula1>"захоронение твердых коммунальных отходов, обработку твердых коммунальных отходов, обезвреживание твердых коммунальных отходов"</formula1>
    </dataValidation>
    <dataValidation type="list" allowBlank="1" showInputMessage="1" showErrorMessage="1" sqref="C34">
      <formula1>"Да, Нет"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</cp:lastModifiedBy>
  <cp:lastPrinted>2019-12-13T07:49:47Z</cp:lastPrinted>
  <dcterms:created xsi:type="dcterms:W3CDTF">2013-04-08T06:55:43Z</dcterms:created>
  <dcterms:modified xsi:type="dcterms:W3CDTF">2019-12-27T08:49:34Z</dcterms:modified>
  <cp:category/>
  <cp:version/>
  <cp:contentType/>
  <cp:contentStatus/>
</cp:coreProperties>
</file>